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Sarah\FACT BOOK_SB\FACT BOOK_Process Documents_2018-19_SB\Sandy's FB Assigned_SB\In Process\"/>
    </mc:Choice>
  </mc:AlternateContent>
  <bookViews>
    <workbookView xWindow="3150" yWindow="-105" windowWidth="11205" windowHeight="9165"/>
  </bookViews>
  <sheets>
    <sheet name="Faculty by Rank" sheetId="1" r:id="rId1"/>
    <sheet name="Data for Graph" sheetId="2" r:id="rId2"/>
  </sheets>
  <definedNames>
    <definedName name="_xlnm.Print_Area" localSheetId="0">'Faculty by Rank'!$A$1:$AG$64</definedName>
  </definedNames>
  <calcPr calcId="162913"/>
</workbook>
</file>

<file path=xl/calcChain.xml><?xml version="1.0" encoding="utf-8"?>
<calcChain xmlns="http://schemas.openxmlformats.org/spreadsheetml/2006/main">
  <c r="AG38" i="1" l="1"/>
  <c r="AG35" i="1"/>
  <c r="AG34" i="1"/>
  <c r="AG33" i="1"/>
  <c r="AG31" i="1"/>
  <c r="AG30" i="1"/>
  <c r="AG23" i="1"/>
  <c r="AG22" i="1"/>
  <c r="AG20" i="1"/>
  <c r="AG19" i="1"/>
  <c r="AG18" i="1"/>
  <c r="AG5" i="1" l="1"/>
  <c r="AG37" i="1" l="1"/>
  <c r="AG36" i="1"/>
  <c r="AG32" i="1"/>
  <c r="AG24" i="1"/>
  <c r="AG21" i="1"/>
  <c r="AG12" i="1"/>
  <c r="AG17" i="1" l="1"/>
  <c r="AF38" i="1" l="1"/>
  <c r="AF37" i="1"/>
  <c r="AF36" i="1"/>
  <c r="AF35" i="1"/>
  <c r="AF34" i="1"/>
  <c r="AF33" i="1"/>
  <c r="AF32" i="1"/>
  <c r="AF31" i="1"/>
  <c r="AF30" i="1" l="1"/>
  <c r="AF23" i="1"/>
  <c r="AF22" i="1"/>
  <c r="AF19" i="1"/>
  <c r="AF18" i="1"/>
  <c r="AE38" i="1" l="1"/>
  <c r="AE37" i="1"/>
  <c r="AE36" i="1"/>
  <c r="AE35" i="1"/>
  <c r="AE34" i="1"/>
  <c r="AE33" i="1"/>
  <c r="AE32" i="1"/>
  <c r="AE31" i="1"/>
  <c r="AE24" i="1"/>
  <c r="AE23" i="1"/>
  <c r="AE22" i="1"/>
  <c r="AE21" i="1"/>
  <c r="AE20" i="1"/>
  <c r="AE19" i="1"/>
  <c r="AE18" i="1"/>
  <c r="AE12" i="1"/>
  <c r="AE5" i="1"/>
  <c r="AE30" i="1" l="1"/>
  <c r="AE17" i="1"/>
  <c r="AD38" i="1"/>
  <c r="AD37" i="1"/>
  <c r="AD36" i="1"/>
  <c r="AD35" i="1"/>
  <c r="AD34" i="1"/>
  <c r="AD33" i="1"/>
  <c r="AD32" i="1"/>
  <c r="AD31" i="1"/>
  <c r="AD24" i="1"/>
  <c r="AD23" i="1"/>
  <c r="AD22" i="1"/>
  <c r="AD21" i="1"/>
  <c r="AD20" i="1"/>
  <c r="AD19" i="1"/>
  <c r="AD18" i="1"/>
  <c r="AD12" i="1"/>
  <c r="AD5" i="1"/>
  <c r="AD17" i="1" l="1"/>
  <c r="AD30" i="1"/>
  <c r="AC38" i="1"/>
  <c r="AC37" i="1"/>
  <c r="AC36" i="1"/>
  <c r="AC35" i="1"/>
  <c r="AC34" i="1"/>
  <c r="AC33" i="1"/>
  <c r="AC32" i="1"/>
  <c r="AC31" i="1"/>
  <c r="AC24" i="1"/>
  <c r="AC23" i="1"/>
  <c r="AC22" i="1"/>
  <c r="AC21" i="1"/>
  <c r="AC20" i="1"/>
  <c r="AC19" i="1"/>
  <c r="AC18" i="1"/>
  <c r="AC12" i="1"/>
  <c r="AC5" i="1"/>
  <c r="AC17" i="1" l="1"/>
  <c r="AC30" i="1"/>
  <c r="AF21" i="1"/>
  <c r="AF20" i="1"/>
  <c r="AB20" i="1"/>
  <c r="AF24" i="1"/>
  <c r="AF12" i="1"/>
  <c r="AF5" i="1"/>
  <c r="AF17" i="1" l="1"/>
  <c r="AB37" i="1"/>
  <c r="AB38" i="1"/>
  <c r="AB36" i="1"/>
  <c r="AB35" i="1"/>
  <c r="AB34" i="1"/>
  <c r="AB32" i="1"/>
  <c r="AB31" i="1"/>
  <c r="AB24" i="1"/>
  <c r="AB23" i="1"/>
  <c r="AB22" i="1"/>
  <c r="AB21" i="1"/>
  <c r="AB19" i="1"/>
  <c r="AB18" i="1"/>
  <c r="AB12" i="1"/>
  <c r="AB5" i="1"/>
  <c r="AB30" i="1" l="1"/>
  <c r="AB17" i="1"/>
  <c r="Z38" i="1"/>
  <c r="Z37" i="1"/>
  <c r="Z36" i="1"/>
  <c r="Z35" i="1"/>
  <c r="Z34" i="1"/>
  <c r="Z32" i="1"/>
  <c r="Z31" i="1"/>
  <c r="Z24" i="1"/>
  <c r="Z20" i="1"/>
  <c r="Z23" i="1"/>
  <c r="Z22" i="1"/>
  <c r="Z21" i="1"/>
  <c r="Z19" i="1"/>
  <c r="Z18" i="1"/>
  <c r="Z12" i="1"/>
  <c r="Z5" i="1"/>
  <c r="AA38" i="1"/>
  <c r="AA37" i="1"/>
  <c r="AA36" i="1"/>
  <c r="AA35" i="1"/>
  <c r="AA34" i="1"/>
  <c r="AA32" i="1"/>
  <c r="AA31" i="1"/>
  <c r="AA24" i="1"/>
  <c r="AA20" i="1"/>
  <c r="AA23" i="1"/>
  <c r="AA22" i="1"/>
  <c r="AA21" i="1"/>
  <c r="AA19" i="1"/>
  <c r="AA18" i="1"/>
  <c r="AA12" i="1"/>
  <c r="AA5" i="1"/>
  <c r="Y38" i="1"/>
  <c r="Y37" i="1"/>
  <c r="Y36" i="1"/>
  <c r="Y35" i="1"/>
  <c r="Y34" i="1"/>
  <c r="Y32" i="1"/>
  <c r="Y31" i="1"/>
  <c r="Y24" i="1"/>
  <c r="Y20" i="1"/>
  <c r="Y23" i="1"/>
  <c r="Y22" i="1"/>
  <c r="Y21" i="1"/>
  <c r="Y19" i="1"/>
  <c r="Y18" i="1"/>
  <c r="Y12" i="1"/>
  <c r="Y5" i="1"/>
  <c r="X38" i="1"/>
  <c r="X37" i="1"/>
  <c r="X36" i="1"/>
  <c r="X35" i="1"/>
  <c r="X34" i="1"/>
  <c r="X32" i="1"/>
  <c r="X31" i="1"/>
  <c r="X24" i="1"/>
  <c r="X20" i="1"/>
  <c r="X23" i="1"/>
  <c r="X22" i="1"/>
  <c r="X21" i="1"/>
  <c r="X19" i="1"/>
  <c r="X18" i="1"/>
  <c r="X12" i="1"/>
  <c r="X5" i="1"/>
  <c r="W37" i="1"/>
  <c r="W38" i="1"/>
  <c r="W20" i="1"/>
  <c r="W36" i="1"/>
  <c r="W35" i="1"/>
  <c r="W34" i="1"/>
  <c r="W32" i="1"/>
  <c r="W31" i="1"/>
  <c r="W24" i="1"/>
  <c r="W23" i="1"/>
  <c r="W22" i="1"/>
  <c r="W21" i="1"/>
  <c r="W19" i="1"/>
  <c r="W18" i="1"/>
  <c r="W12" i="1"/>
  <c r="W5" i="1"/>
  <c r="V20" i="1"/>
  <c r="V37" i="1" s="1"/>
  <c r="V38" i="1"/>
  <c r="V31" i="1"/>
  <c r="V32" i="1"/>
  <c r="V34" i="1"/>
  <c r="V35" i="1"/>
  <c r="V36" i="1"/>
  <c r="V24" i="1"/>
  <c r="V23" i="1"/>
  <c r="V22" i="1"/>
  <c r="V21" i="1"/>
  <c r="V19" i="1"/>
  <c r="V18" i="1"/>
  <c r="V12" i="1"/>
  <c r="V5" i="1"/>
  <c r="U36" i="1"/>
  <c r="U35" i="1"/>
  <c r="U34" i="1"/>
  <c r="U32" i="1"/>
  <c r="U31" i="1"/>
  <c r="U24" i="1"/>
  <c r="U20" i="1"/>
  <c r="U23" i="1"/>
  <c r="U22" i="1"/>
  <c r="U21" i="1"/>
  <c r="U19" i="1"/>
  <c r="U18" i="1"/>
  <c r="U12" i="1"/>
  <c r="U5" i="1"/>
  <c r="T34" i="1"/>
  <c r="T36" i="1"/>
  <c r="T35" i="1"/>
  <c r="T32" i="1"/>
  <c r="T31" i="1"/>
  <c r="T24" i="1"/>
  <c r="T20" i="1"/>
  <c r="T23" i="1"/>
  <c r="T22" i="1"/>
  <c r="T21" i="1"/>
  <c r="T19" i="1"/>
  <c r="T18" i="1"/>
  <c r="T12" i="1"/>
  <c r="T5" i="1"/>
  <c r="S36" i="1"/>
  <c r="S35" i="1"/>
  <c r="S9" i="1"/>
  <c r="S34" i="1" s="1"/>
  <c r="P9" i="1"/>
  <c r="P34" i="1" s="1"/>
  <c r="S32" i="1"/>
  <c r="S31" i="1"/>
  <c r="S38" i="1"/>
  <c r="S29" i="1" s="1"/>
  <c r="S24" i="1" s="1"/>
  <c r="S20" i="1"/>
  <c r="S23" i="1"/>
  <c r="S22" i="1"/>
  <c r="S18" i="1"/>
  <c r="S19" i="1"/>
  <c r="S12" i="1"/>
  <c r="R37" i="1"/>
  <c r="R38" i="1"/>
  <c r="R29" i="1" s="1"/>
  <c r="R34" i="1"/>
  <c r="R9" i="1"/>
  <c r="R21" i="1" s="1"/>
  <c r="R20" i="1"/>
  <c r="R23" i="1"/>
  <c r="R27" i="1" s="1"/>
  <c r="R22" i="1"/>
  <c r="R26" i="1" s="1"/>
  <c r="R18" i="1"/>
  <c r="R19" i="1"/>
  <c r="R12" i="1"/>
  <c r="Q29" i="1"/>
  <c r="Q34" i="1"/>
  <c r="Q30" i="1" s="1"/>
  <c r="Q18" i="1"/>
  <c r="Q19" i="1"/>
  <c r="Q9" i="1"/>
  <c r="Q21" i="1" s="1"/>
  <c r="Q22" i="1"/>
  <c r="Q26" i="1" s="1"/>
  <c r="Q23" i="1"/>
  <c r="Q27" i="1" s="1"/>
  <c r="Q20" i="1"/>
  <c r="Q28" i="1" s="1"/>
  <c r="Q12" i="1"/>
  <c r="P18" i="1"/>
  <c r="P19" i="1"/>
  <c r="P22" i="1"/>
  <c r="P23" i="1"/>
  <c r="P20" i="1"/>
  <c r="O18" i="1"/>
  <c r="O19" i="1"/>
  <c r="O21" i="1"/>
  <c r="O22" i="1"/>
  <c r="O23" i="1"/>
  <c r="O20" i="1"/>
  <c r="N18" i="1"/>
  <c r="N19" i="1"/>
  <c r="N9" i="1"/>
  <c r="N21" i="1" s="1"/>
  <c r="N22" i="1"/>
  <c r="N23" i="1"/>
  <c r="N20" i="1"/>
  <c r="M18" i="1"/>
  <c r="M19" i="1"/>
  <c r="M9" i="1"/>
  <c r="M21" i="1" s="1"/>
  <c r="M22" i="1"/>
  <c r="M23" i="1"/>
  <c r="M20" i="1"/>
  <c r="L18" i="1"/>
  <c r="L19" i="1"/>
  <c r="L9" i="1"/>
  <c r="L21" i="1" s="1"/>
  <c r="L22" i="1"/>
  <c r="L23" i="1"/>
  <c r="L20" i="1"/>
  <c r="K18" i="1"/>
  <c r="K19" i="1"/>
  <c r="K9" i="1"/>
  <c r="K21" i="1" s="1"/>
  <c r="K22" i="1"/>
  <c r="K23" i="1"/>
  <c r="K20" i="1"/>
  <c r="J18" i="1"/>
  <c r="J19" i="1"/>
  <c r="J9" i="1"/>
  <c r="J21" i="1" s="1"/>
  <c r="J22" i="1"/>
  <c r="J23" i="1"/>
  <c r="J20" i="1"/>
  <c r="I18" i="1"/>
  <c r="I19" i="1"/>
  <c r="I9" i="1"/>
  <c r="I21" i="1" s="1"/>
  <c r="I22" i="1"/>
  <c r="I23" i="1"/>
  <c r="I20" i="1"/>
  <c r="H18" i="1"/>
  <c r="H19" i="1"/>
  <c r="H9" i="1"/>
  <c r="H21" i="1" s="1"/>
  <c r="H22" i="1"/>
  <c r="H23" i="1"/>
  <c r="H20" i="1"/>
  <c r="G18" i="1"/>
  <c r="G19" i="1"/>
  <c r="G21" i="1"/>
  <c r="G22" i="1"/>
  <c r="G23" i="1"/>
  <c r="G20" i="1"/>
  <c r="F18" i="1"/>
  <c r="F19" i="1"/>
  <c r="F21" i="1"/>
  <c r="F22" i="1"/>
  <c r="F23" i="1"/>
  <c r="F20" i="1"/>
  <c r="E18" i="1"/>
  <c r="E19" i="1"/>
  <c r="E21" i="1"/>
  <c r="E22" i="1"/>
  <c r="E23" i="1"/>
  <c r="E20" i="1"/>
  <c r="P28" i="1"/>
  <c r="P37" i="1" s="1"/>
  <c r="P27" i="1"/>
  <c r="P36" i="1" s="1"/>
  <c r="P35" i="1"/>
  <c r="P32" i="1"/>
  <c r="P31" i="1"/>
  <c r="P12" i="1"/>
  <c r="O37" i="1"/>
  <c r="O36" i="1"/>
  <c r="O35" i="1"/>
  <c r="O34" i="1"/>
  <c r="O32" i="1"/>
  <c r="O31" i="1"/>
  <c r="O24" i="1"/>
  <c r="O12" i="1"/>
  <c r="O5" i="1"/>
  <c r="N31" i="1"/>
  <c r="N32" i="1"/>
  <c r="N25" i="1"/>
  <c r="N26" i="1"/>
  <c r="N35" i="1" s="1"/>
  <c r="N27" i="1"/>
  <c r="N36" i="1" s="1"/>
  <c r="N28" i="1"/>
  <c r="N37" i="1" s="1"/>
  <c r="M32" i="1"/>
  <c r="M31" i="1"/>
  <c r="M35" i="1"/>
  <c r="M27" i="1"/>
  <c r="M36" i="1" s="1"/>
  <c r="M28" i="1"/>
  <c r="M37" i="1" s="1"/>
  <c r="M5" i="1"/>
  <c r="N12" i="1"/>
  <c r="E31" i="1"/>
  <c r="E25" i="1"/>
  <c r="E34" i="1" s="1"/>
  <c r="E26" i="1"/>
  <c r="E35" i="1" s="1"/>
  <c r="E27" i="1"/>
  <c r="E36" i="1" s="1"/>
  <c r="E28" i="1"/>
  <c r="E37" i="1" s="1"/>
  <c r="F31" i="1"/>
  <c r="F25" i="1"/>
  <c r="F34" i="1" s="1"/>
  <c r="F26" i="1"/>
  <c r="F35" i="1" s="1"/>
  <c r="F27" i="1"/>
  <c r="F36" i="1" s="1"/>
  <c r="F28" i="1"/>
  <c r="F37" i="1" s="1"/>
  <c r="F12" i="1"/>
  <c r="E12" i="1"/>
  <c r="E5" i="1"/>
  <c r="F5" i="1"/>
  <c r="G5" i="1"/>
  <c r="L32" i="1"/>
  <c r="K32" i="1"/>
  <c r="J32" i="1"/>
  <c r="I32" i="1"/>
  <c r="H32" i="1"/>
  <c r="G32" i="1"/>
  <c r="L28" i="1"/>
  <c r="L37" i="1" s="1"/>
  <c r="L27" i="1"/>
  <c r="L36" i="1" s="1"/>
  <c r="M12" i="1"/>
  <c r="K28" i="1"/>
  <c r="K37" i="1" s="1"/>
  <c r="K27" i="1"/>
  <c r="K36" i="1" s="1"/>
  <c r="K26" i="1"/>
  <c r="K35" i="1" s="1"/>
  <c r="K25" i="1"/>
  <c r="L31" i="1"/>
  <c r="L35" i="1"/>
  <c r="L12" i="1"/>
  <c r="J28" i="1"/>
  <c r="J37" i="1" s="1"/>
  <c r="J27" i="1"/>
  <c r="J36" i="1" s="1"/>
  <c r="J26" i="1"/>
  <c r="J35" i="1" s="1"/>
  <c r="J25" i="1"/>
  <c r="K31" i="1"/>
  <c r="K12" i="1"/>
  <c r="J31" i="1"/>
  <c r="J12" i="1"/>
  <c r="G12" i="1"/>
  <c r="H12" i="1"/>
  <c r="I12" i="1"/>
  <c r="G25" i="1"/>
  <c r="G34" i="1" s="1"/>
  <c r="H25" i="1"/>
  <c r="G26" i="1"/>
  <c r="G35" i="1" s="1"/>
  <c r="H26" i="1"/>
  <c r="H35" i="1" s="1"/>
  <c r="G27" i="1"/>
  <c r="G36" i="1" s="1"/>
  <c r="H27" i="1"/>
  <c r="H36" i="1" s="1"/>
  <c r="G28" i="1"/>
  <c r="G37" i="1" s="1"/>
  <c r="H28" i="1"/>
  <c r="H37" i="1" s="1"/>
  <c r="I28" i="1"/>
  <c r="I37" i="1" s="1"/>
  <c r="G31" i="1"/>
  <c r="H31" i="1"/>
  <c r="I31" i="1"/>
  <c r="I35" i="1"/>
  <c r="I36" i="1"/>
  <c r="M34" i="1" l="1"/>
  <c r="M30" i="1" s="1"/>
  <c r="P5" i="1"/>
  <c r="I34" i="1"/>
  <c r="I30" i="1" s="1"/>
  <c r="I24" i="1"/>
  <c r="H5" i="1"/>
  <c r="L34" i="1"/>
  <c r="L30" i="1" s="1"/>
  <c r="L5" i="1"/>
  <c r="K5" i="1"/>
  <c r="N34" i="1"/>
  <c r="N30" i="1" s="1"/>
  <c r="X17" i="1"/>
  <c r="Z17" i="1"/>
  <c r="G17" i="1"/>
  <c r="R5" i="1"/>
  <c r="J34" i="1"/>
  <c r="J30" i="1" s="1"/>
  <c r="M24" i="1"/>
  <c r="Y17" i="1"/>
  <c r="X30" i="1"/>
  <c r="O30" i="1"/>
  <c r="Z30" i="1"/>
  <c r="G30" i="1"/>
  <c r="W30" i="1"/>
  <c r="K24" i="1"/>
  <c r="I5" i="1"/>
  <c r="J24" i="1"/>
  <c r="J5" i="1"/>
  <c r="E24" i="1"/>
  <c r="N24" i="1"/>
  <c r="P21" i="1"/>
  <c r="V17" i="1"/>
  <c r="W17" i="1"/>
  <c r="U30" i="1"/>
  <c r="L24" i="1"/>
  <c r="N5" i="1"/>
  <c r="U17" i="1"/>
  <c r="K34" i="1"/>
  <c r="K30" i="1" s="1"/>
  <c r="P30" i="1"/>
  <c r="Q5" i="1"/>
  <c r="S5" i="1"/>
  <c r="S21" i="1"/>
  <c r="S17" i="1" s="1"/>
  <c r="T30" i="1"/>
  <c r="T17" i="1"/>
  <c r="G24" i="1"/>
  <c r="E17" i="1"/>
  <c r="P17" i="1"/>
  <c r="R30" i="1"/>
  <c r="S30" i="1"/>
  <c r="AA17" i="1"/>
  <c r="AA30" i="1"/>
  <c r="E30" i="1"/>
  <c r="F17" i="1"/>
  <c r="R25" i="1"/>
  <c r="V30" i="1"/>
  <c r="H24" i="1"/>
  <c r="F24" i="1"/>
  <c r="F30" i="1"/>
  <c r="P24" i="1"/>
  <c r="O17" i="1"/>
  <c r="R28" i="1"/>
  <c r="Y30" i="1"/>
  <c r="Q25" i="1"/>
  <c r="Q24" i="1" s="1"/>
  <c r="Q17" i="1"/>
  <c r="H17" i="1"/>
  <c r="I17" i="1"/>
  <c r="J17" i="1"/>
  <c r="K17" i="1"/>
  <c r="L17" i="1"/>
  <c r="M17" i="1"/>
  <c r="N17" i="1"/>
  <c r="H34" i="1"/>
  <c r="H30" i="1" s="1"/>
  <c r="R17" i="1"/>
  <c r="R24" i="1" l="1"/>
</calcChain>
</file>

<file path=xl/sharedStrings.xml><?xml version="1.0" encoding="utf-8"?>
<sst xmlns="http://schemas.openxmlformats.org/spreadsheetml/2006/main" count="48" uniqueCount="36">
  <si>
    <t xml:space="preserve"> </t>
  </si>
  <si>
    <t xml:space="preserve"> October Payroll Headcount</t>
  </si>
  <si>
    <t>Distinguished Professor</t>
  </si>
  <si>
    <t>University Professor</t>
  </si>
  <si>
    <t>Professor</t>
  </si>
  <si>
    <t>Associate Professor</t>
  </si>
  <si>
    <t>Assistant Professor</t>
  </si>
  <si>
    <t>Instructor</t>
  </si>
  <si>
    <t>Total Tenured and Tenure Eligible</t>
  </si>
  <si>
    <t>Lecturer/Clinician</t>
  </si>
  <si>
    <t>Morrill Professor</t>
  </si>
  <si>
    <t>Tenured</t>
  </si>
  <si>
    <t>Tenure-Eligible</t>
  </si>
  <si>
    <t>Non-Tenure Eligible</t>
  </si>
  <si>
    <t>Faculty by Rank and Tenure</t>
  </si>
  <si>
    <t xml:space="preserve"> Distinguished Professor</t>
  </si>
  <si>
    <t xml:space="preserve"> University Professor</t>
  </si>
  <si>
    <t xml:space="preserve"> Professor</t>
  </si>
  <si>
    <t xml:space="preserve"> Assistant Professor</t>
  </si>
  <si>
    <t xml:space="preserve"> Morrill Professor</t>
  </si>
  <si>
    <t xml:space="preserve"> Associate Professor</t>
  </si>
  <si>
    <t xml:space="preserve"> Tenured </t>
  </si>
  <si>
    <t xml:space="preserve"> Tenure Eligible</t>
  </si>
  <si>
    <t xml:space="preserve"> Non-Tenure Eligible</t>
  </si>
  <si>
    <t xml:space="preserve"> Total Faculty</t>
  </si>
  <si>
    <t xml:space="preserve"> Office of Institutional Research</t>
  </si>
  <si>
    <r>
      <t>Distinguished Professor</t>
    </r>
    <r>
      <rPr>
        <vertAlign val="superscript"/>
        <sz val="9"/>
        <rFont val="Univers 55"/>
        <family val="2"/>
      </rPr>
      <t>1</t>
    </r>
  </si>
  <si>
    <r>
      <t>University Professor</t>
    </r>
    <r>
      <rPr>
        <vertAlign val="superscript"/>
        <sz val="9"/>
        <rFont val="Univers 55"/>
        <family val="2"/>
      </rPr>
      <t>2</t>
    </r>
  </si>
  <si>
    <r>
      <t>Morrill Professor</t>
    </r>
    <r>
      <rPr>
        <vertAlign val="superscript"/>
        <sz val="9"/>
        <rFont val="Univers 55"/>
        <family val="2"/>
      </rPr>
      <t>3</t>
    </r>
  </si>
  <si>
    <t xml:space="preserve">The Distinguished Professorship is bestowed on faculty members who have outstanding accomplishments in their research and/or creative activities
</t>
  </si>
  <si>
    <t>The University Professorship is bestowed on faculty members who have made outstanding contributions to ISU that have significantly changed</t>
  </si>
  <si>
    <t>The Morrill Professorship is bestowed on faculty members who have demonstrated outstanding and sustained success in teaching and learning</t>
  </si>
  <si>
    <t xml:space="preserve">that have had a significant impact on their fields of expertise. </t>
  </si>
  <si>
    <t>and improved ISU.</t>
  </si>
  <si>
    <t xml:space="preserve">in undergraduate, graduate and/or Extension/outreach programs. </t>
  </si>
  <si>
    <t xml:space="preserve"> Last Updated: 12/17/2018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</si>
</sst>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,???"/>
    <numFmt numFmtId="165" formatCode="????"/>
    <numFmt numFmtId="166" formatCode="?,??0"/>
  </numFmts>
  <fonts count="14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10"/>
      <name val="Univers LT Std 45 Light"/>
      <family val="2"/>
    </font>
    <font>
      <sz val="9"/>
      <name val="Univers 55"/>
      <family val="2"/>
    </font>
    <font>
      <vertAlign val="superscript"/>
      <sz val="9"/>
      <name val="Univers 55"/>
      <family val="2"/>
    </font>
    <font>
      <b/>
      <sz val="9"/>
      <name val="Univers 45 Light"/>
      <family val="2"/>
    </font>
    <font>
      <sz val="9"/>
      <name val="Univers 65 Bold"/>
    </font>
    <font>
      <vertAlign val="superscript"/>
      <sz val="10"/>
      <name val="Univers LT Std 45 Light"/>
      <family val="2"/>
    </font>
    <font>
      <sz val="8"/>
      <name val="Univers LT Std 45 Light"/>
      <family val="2"/>
    </font>
    <font>
      <vertAlign val="superscript"/>
      <sz val="8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/>
    <xf numFmtId="164" fontId="6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0" fontId="9" fillId="0" borderId="0" xfId="0" applyFont="1"/>
    <xf numFmtId="164" fontId="7" fillId="0" borderId="0" xfId="0" applyNumberFormat="1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66" fontId="7" fillId="0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165" fontId="6" fillId="0" borderId="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Number of Faculty by Tenure Status</a:t>
            </a:r>
          </a:p>
        </c:rich>
      </c:tx>
      <c:layout>
        <c:manualLayout>
          <c:xMode val="edge"/>
          <c:yMode val="edge"/>
          <c:x val="0.29107580706348252"/>
          <c:y val="4.74887372976732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234739867731894E-2"/>
          <c:y val="0.11812903289728742"/>
          <c:w val="0.89585361992978119"/>
          <c:h val="0.78510816797923866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Tenured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f>'Data for Graph'!$B$1:$K$1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for Graph'!$B$2:$K$2</c:f>
              <c:numCache>
                <c:formatCode>?,???</c:formatCode>
                <c:ptCount val="10"/>
                <c:pt idx="0">
                  <c:v>1018</c:v>
                </c:pt>
                <c:pt idx="1">
                  <c:v>1008</c:v>
                </c:pt>
                <c:pt idx="2">
                  <c:v>1007</c:v>
                </c:pt>
                <c:pt idx="3">
                  <c:v>1028</c:v>
                </c:pt>
                <c:pt idx="4">
                  <c:v>1013</c:v>
                </c:pt>
                <c:pt idx="5">
                  <c:v>1003</c:v>
                </c:pt>
                <c:pt idx="6">
                  <c:v>1020</c:v>
                </c:pt>
                <c:pt idx="7">
                  <c:v>997</c:v>
                </c:pt>
                <c:pt idx="8">
                  <c:v>979</c:v>
                </c:pt>
                <c:pt idx="9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B-4D90-853C-83100EA666C2}"/>
            </c:ext>
          </c:extLst>
        </c:ser>
        <c:ser>
          <c:idx val="1"/>
          <c:order val="1"/>
          <c:tx>
            <c:strRef>
              <c:f>'Data for Graph'!$A$3</c:f>
              <c:strCache>
                <c:ptCount val="1"/>
                <c:pt idx="0">
                  <c:v>Tenure-Eligible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f>'Data for Graph'!$B$1:$K$1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for Graph'!$B$3:$K$3</c:f>
              <c:numCache>
                <c:formatCode>?,???</c:formatCode>
                <c:ptCount val="10"/>
                <c:pt idx="0">
                  <c:v>328</c:v>
                </c:pt>
                <c:pt idx="1">
                  <c:v>300</c:v>
                </c:pt>
                <c:pt idx="2">
                  <c:v>286</c:v>
                </c:pt>
                <c:pt idx="3">
                  <c:v>303</c:v>
                </c:pt>
                <c:pt idx="4">
                  <c:v>293</c:v>
                </c:pt>
                <c:pt idx="5">
                  <c:v>315</c:v>
                </c:pt>
                <c:pt idx="6">
                  <c:v>369</c:v>
                </c:pt>
                <c:pt idx="7">
                  <c:v>376</c:v>
                </c:pt>
                <c:pt idx="8">
                  <c:v>383</c:v>
                </c:pt>
                <c:pt idx="9">
                  <c:v>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B-4D90-853C-83100EA666C2}"/>
            </c:ext>
          </c:extLst>
        </c:ser>
        <c:ser>
          <c:idx val="2"/>
          <c:order val="2"/>
          <c:tx>
            <c:strRef>
              <c:f>'Data for Graph'!$A$4</c:f>
              <c:strCache>
                <c:ptCount val="1"/>
                <c:pt idx="0">
                  <c:v>Non-Tenure Eligible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f>'Data for Graph'!$B$1:$K$1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for Graph'!$B$4:$K$4</c:f>
              <c:numCache>
                <c:formatCode>?,???</c:formatCode>
                <c:ptCount val="10"/>
                <c:pt idx="0">
                  <c:v>400</c:v>
                </c:pt>
                <c:pt idx="1">
                  <c:v>432</c:v>
                </c:pt>
                <c:pt idx="2">
                  <c:v>473</c:v>
                </c:pt>
                <c:pt idx="3">
                  <c:v>514</c:v>
                </c:pt>
                <c:pt idx="4">
                  <c:v>563</c:v>
                </c:pt>
                <c:pt idx="5">
                  <c:v>574</c:v>
                </c:pt>
                <c:pt idx="6">
                  <c:v>584</c:v>
                </c:pt>
                <c:pt idx="7">
                  <c:v>596</c:v>
                </c:pt>
                <c:pt idx="8">
                  <c:v>604</c:v>
                </c:pt>
                <c:pt idx="9">
                  <c:v>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B-4D90-853C-83100EA66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159232"/>
        <c:axId val="398160800"/>
      </c:lineChart>
      <c:catAx>
        <c:axId val="3981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8160800"/>
        <c:crosses val="autoZero"/>
        <c:auto val="1"/>
        <c:lblAlgn val="ctr"/>
        <c:lblOffset val="100"/>
        <c:noMultiLvlLbl val="0"/>
      </c:catAx>
      <c:valAx>
        <c:axId val="398160800"/>
        <c:scaling>
          <c:orientation val="minMax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8159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974684858647681"/>
          <c:y val="0.37355636579666851"/>
          <c:w val="0.79745118488042877"/>
          <c:h val="9.6842915800264565E-2"/>
        </c:manualLayout>
      </c:layout>
      <c:overlay val="1"/>
      <c:txPr>
        <a:bodyPr/>
        <a:lstStyle/>
        <a:p>
          <a:pPr>
            <a:defRPr sz="100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0</xdr:row>
      <xdr:rowOff>46974</xdr:rowOff>
    </xdr:from>
    <xdr:to>
      <xdr:col>32</xdr:col>
      <xdr:colOff>573723</xdr:colOff>
      <xdr:row>1</xdr:row>
      <xdr:rowOff>4252</xdr:rowOff>
    </xdr:to>
    <xdr:grpSp>
      <xdr:nvGrpSpPr>
        <xdr:cNvPr id="4" name="Group 3"/>
        <xdr:cNvGrpSpPr/>
      </xdr:nvGrpSpPr>
      <xdr:grpSpPr>
        <a:xfrm>
          <a:off x="7938" y="46974"/>
          <a:ext cx="8142490" cy="147778"/>
          <a:chOff x="7938" y="46974"/>
          <a:chExt cx="8138160" cy="147778"/>
        </a:xfrm>
      </xdr:grpSpPr>
      <xdr:pic>
        <xdr:nvPicPr>
          <xdr:cNvPr id="1051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7310" y="46974"/>
            <a:ext cx="1091602" cy="100584"/>
          </a:xfrm>
          <a:prstGeom prst="rect">
            <a:avLst/>
          </a:prstGeom>
          <a:noFill/>
        </xdr:spPr>
      </xdr:pic>
      <xdr:sp macro="" textlink="">
        <xdr:nvSpPr>
          <xdr:cNvPr id="1052" name="Line 28"/>
          <xdr:cNvSpPr>
            <a:spLocks noChangeShapeType="1"/>
          </xdr:cNvSpPr>
        </xdr:nvSpPr>
        <xdr:spPr bwMode="auto">
          <a:xfrm>
            <a:off x="7938" y="194752"/>
            <a:ext cx="81381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44</xdr:row>
      <xdr:rowOff>404813</xdr:rowOff>
    </xdr:from>
    <xdr:to>
      <xdr:col>32</xdr:col>
      <xdr:colOff>523875</xdr:colOff>
      <xdr:row>60</xdr:row>
      <xdr:rowOff>90158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355"/>
  <sheetViews>
    <sheetView showGridLines="0" tabSelected="1" view="pageBreakPreview" zoomScale="110" zoomScaleNormal="140" zoomScaleSheetLayoutView="110" workbookViewId="0">
      <selection activeCell="AH1" sqref="AH1"/>
    </sheetView>
  </sheetViews>
  <sheetFormatPr defaultColWidth="11.42578125" defaultRowHeight="12.75"/>
  <cols>
    <col min="1" max="1" width="2.28515625" customWidth="1"/>
    <col min="2" max="2" width="1.85546875" customWidth="1"/>
    <col min="3" max="3" width="1.28515625" customWidth="1"/>
    <col min="4" max="4" width="29.85546875" customWidth="1"/>
    <col min="5" max="12" width="6.85546875" style="3" hidden="1" customWidth="1"/>
    <col min="13" max="15" width="7.140625" style="3" hidden="1" customWidth="1"/>
    <col min="16" max="21" width="7.28515625" style="3" hidden="1" customWidth="1"/>
    <col min="22" max="23" width="7" style="3" hidden="1" customWidth="1"/>
    <col min="24" max="33" width="8.7109375" style="3" customWidth="1"/>
  </cols>
  <sheetData>
    <row r="1" spans="1:108" s="1" customFormat="1" ht="1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108" s="4" customFormat="1" ht="24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"/>
      <c r="AF2" s="5"/>
      <c r="AG2" s="5"/>
    </row>
    <row r="3" spans="1:108" s="11" customFormat="1" ht="1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10"/>
      <c r="AF3" s="10"/>
      <c r="AG3" s="10"/>
    </row>
    <row r="4" spans="1:108" s="12" customFormat="1" ht="24" customHeight="1">
      <c r="E4" s="13">
        <v>1990</v>
      </c>
      <c r="F4" s="13">
        <v>1991</v>
      </c>
      <c r="G4" s="13">
        <v>1992</v>
      </c>
      <c r="H4" s="13">
        <v>1993</v>
      </c>
      <c r="I4" s="13">
        <v>1994</v>
      </c>
      <c r="J4" s="13">
        <v>1995</v>
      </c>
      <c r="K4" s="13">
        <v>1996</v>
      </c>
      <c r="L4" s="13">
        <v>1997</v>
      </c>
      <c r="M4" s="13">
        <v>1998</v>
      </c>
      <c r="N4" s="13">
        <v>1999</v>
      </c>
      <c r="O4" s="13">
        <v>2000</v>
      </c>
      <c r="P4" s="13">
        <v>2001</v>
      </c>
      <c r="Q4" s="13">
        <v>2002</v>
      </c>
      <c r="R4" s="13">
        <v>2003</v>
      </c>
      <c r="S4" s="13">
        <v>2004</v>
      </c>
      <c r="T4" s="13">
        <v>2005</v>
      </c>
      <c r="U4" s="13">
        <v>2006</v>
      </c>
      <c r="V4" s="13">
        <v>2007</v>
      </c>
      <c r="W4" s="13">
        <v>2008</v>
      </c>
      <c r="X4" s="13">
        <v>2009</v>
      </c>
      <c r="Y4" s="13">
        <v>2010</v>
      </c>
      <c r="Z4" s="13">
        <v>2011</v>
      </c>
      <c r="AA4" s="13">
        <v>2012</v>
      </c>
      <c r="AB4" s="13">
        <v>2013</v>
      </c>
      <c r="AC4" s="13">
        <v>2014</v>
      </c>
      <c r="AD4" s="13">
        <v>2015</v>
      </c>
      <c r="AE4" s="13">
        <v>2016</v>
      </c>
      <c r="AF4" s="13">
        <v>2017</v>
      </c>
      <c r="AG4" s="56">
        <v>2018</v>
      </c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</row>
    <row r="5" spans="1:108" s="17" customFormat="1" ht="15" customHeight="1">
      <c r="A5" s="49" t="s">
        <v>21</v>
      </c>
      <c r="B5" s="49"/>
      <c r="C5" s="49"/>
      <c r="D5" s="49"/>
      <c r="E5" s="15">
        <f t="shared" ref="E5:AB5" si="0">SUM(E6:E11)</f>
        <v>1195</v>
      </c>
      <c r="F5" s="15">
        <f t="shared" si="0"/>
        <v>1180</v>
      </c>
      <c r="G5" s="15">
        <f t="shared" si="0"/>
        <v>1177</v>
      </c>
      <c r="H5" s="15">
        <f t="shared" si="0"/>
        <v>1191</v>
      </c>
      <c r="I5" s="15">
        <f t="shared" si="0"/>
        <v>1198</v>
      </c>
      <c r="J5" s="15">
        <f t="shared" si="0"/>
        <v>1210</v>
      </c>
      <c r="K5" s="15">
        <f t="shared" si="0"/>
        <v>1196</v>
      </c>
      <c r="L5" s="15">
        <f t="shared" si="0"/>
        <v>1162</v>
      </c>
      <c r="M5" s="15">
        <f t="shared" si="0"/>
        <v>1163</v>
      </c>
      <c r="N5" s="15">
        <f t="shared" si="0"/>
        <v>1114</v>
      </c>
      <c r="O5" s="15">
        <f t="shared" si="0"/>
        <v>1077</v>
      </c>
      <c r="P5" s="15">
        <f t="shared" si="0"/>
        <v>1059</v>
      </c>
      <c r="Q5" s="15">
        <f t="shared" si="0"/>
        <v>1020</v>
      </c>
      <c r="R5" s="15">
        <f t="shared" si="0"/>
        <v>1007</v>
      </c>
      <c r="S5" s="15">
        <f t="shared" si="0"/>
        <v>978</v>
      </c>
      <c r="T5" s="15">
        <f t="shared" si="0"/>
        <v>998</v>
      </c>
      <c r="U5" s="15">
        <f t="shared" si="0"/>
        <v>985</v>
      </c>
      <c r="V5" s="15">
        <f t="shared" si="0"/>
        <v>984</v>
      </c>
      <c r="W5" s="15">
        <f t="shared" si="0"/>
        <v>987</v>
      </c>
      <c r="X5" s="15">
        <f t="shared" si="0"/>
        <v>1018</v>
      </c>
      <c r="Y5" s="15">
        <f t="shared" si="0"/>
        <v>1008</v>
      </c>
      <c r="Z5" s="15">
        <f t="shared" si="0"/>
        <v>1007</v>
      </c>
      <c r="AA5" s="15">
        <f t="shared" si="0"/>
        <v>1028</v>
      </c>
      <c r="AB5" s="15">
        <f t="shared" si="0"/>
        <v>1013</v>
      </c>
      <c r="AC5" s="15">
        <f t="shared" ref="AC5:AF5" si="1">SUM(AC6:AC11)</f>
        <v>1003</v>
      </c>
      <c r="AD5" s="15">
        <f t="shared" ref="AD5:AE5" si="2">SUM(AD6:AD11)</f>
        <v>1020</v>
      </c>
      <c r="AE5" s="15">
        <f t="shared" si="2"/>
        <v>997</v>
      </c>
      <c r="AF5" s="15">
        <f t="shared" si="1"/>
        <v>979</v>
      </c>
      <c r="AG5" s="15">
        <f>SUM(AG6:AG11)</f>
        <v>986</v>
      </c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</row>
    <row r="6" spans="1:108" s="18" customFormat="1" ht="14.1" customHeight="1">
      <c r="B6" s="52" t="s">
        <v>26</v>
      </c>
      <c r="C6" s="52"/>
      <c r="D6" s="52"/>
      <c r="E6" s="19">
        <v>48</v>
      </c>
      <c r="F6" s="19">
        <v>51</v>
      </c>
      <c r="G6" s="19">
        <v>50</v>
      </c>
      <c r="H6" s="19">
        <v>52</v>
      </c>
      <c r="I6" s="20">
        <v>54</v>
      </c>
      <c r="J6" s="20">
        <v>53</v>
      </c>
      <c r="K6" s="20">
        <v>58</v>
      </c>
      <c r="L6" s="20">
        <v>58</v>
      </c>
      <c r="M6" s="20">
        <v>53</v>
      </c>
      <c r="N6" s="20">
        <v>51</v>
      </c>
      <c r="O6" s="20">
        <v>49</v>
      </c>
      <c r="P6" s="20">
        <v>47</v>
      </c>
      <c r="Q6" s="20">
        <v>43</v>
      </c>
      <c r="R6" s="20">
        <v>42</v>
      </c>
      <c r="S6" s="20">
        <v>41</v>
      </c>
      <c r="T6" s="20">
        <v>38</v>
      </c>
      <c r="U6" s="20">
        <v>39</v>
      </c>
      <c r="V6" s="20">
        <v>39</v>
      </c>
      <c r="W6" s="20">
        <v>38</v>
      </c>
      <c r="X6" s="20">
        <v>39</v>
      </c>
      <c r="Y6" s="20">
        <v>41</v>
      </c>
      <c r="Z6" s="20">
        <v>40</v>
      </c>
      <c r="AA6" s="20">
        <v>41</v>
      </c>
      <c r="AB6" s="20">
        <v>41</v>
      </c>
      <c r="AC6" s="20">
        <v>42</v>
      </c>
      <c r="AD6" s="20">
        <v>44</v>
      </c>
      <c r="AE6" s="20">
        <v>44</v>
      </c>
      <c r="AF6" s="20">
        <v>48</v>
      </c>
      <c r="AG6" s="48">
        <v>47</v>
      </c>
    </row>
    <row r="7" spans="1:108" s="18" customFormat="1" ht="14.1" customHeight="1">
      <c r="B7" s="52" t="s">
        <v>27</v>
      </c>
      <c r="C7" s="52"/>
      <c r="D7" s="52"/>
      <c r="E7" s="19"/>
      <c r="F7" s="19"/>
      <c r="G7" s="19"/>
      <c r="H7" s="19">
        <v>9</v>
      </c>
      <c r="I7" s="20">
        <v>14</v>
      </c>
      <c r="J7" s="20">
        <v>15</v>
      </c>
      <c r="K7" s="20">
        <v>23</v>
      </c>
      <c r="L7" s="20">
        <v>27</v>
      </c>
      <c r="M7" s="20">
        <v>29</v>
      </c>
      <c r="N7" s="20">
        <v>37</v>
      </c>
      <c r="O7" s="20">
        <v>33</v>
      </c>
      <c r="P7" s="20">
        <v>36</v>
      </c>
      <c r="Q7" s="20">
        <v>35</v>
      </c>
      <c r="R7" s="20">
        <v>37</v>
      </c>
      <c r="S7" s="20">
        <v>35</v>
      </c>
      <c r="T7" s="20">
        <v>38</v>
      </c>
      <c r="U7" s="20">
        <v>40</v>
      </c>
      <c r="V7" s="20">
        <v>38</v>
      </c>
      <c r="W7" s="20">
        <v>39</v>
      </c>
      <c r="X7" s="20">
        <v>40</v>
      </c>
      <c r="Y7" s="20">
        <v>41</v>
      </c>
      <c r="Z7" s="20">
        <v>40</v>
      </c>
      <c r="AA7" s="20">
        <v>40</v>
      </c>
      <c r="AB7" s="20">
        <v>39</v>
      </c>
      <c r="AC7" s="20">
        <v>37</v>
      </c>
      <c r="AD7" s="20">
        <v>37</v>
      </c>
      <c r="AE7" s="20">
        <v>37</v>
      </c>
      <c r="AF7" s="20">
        <v>35</v>
      </c>
      <c r="AG7" s="48">
        <v>31</v>
      </c>
    </row>
    <row r="8" spans="1:108" s="18" customFormat="1" ht="14.1" customHeight="1">
      <c r="B8" s="52" t="s">
        <v>28</v>
      </c>
      <c r="C8" s="52"/>
      <c r="D8" s="52"/>
      <c r="E8" s="19">
        <v>4</v>
      </c>
      <c r="F8" s="19">
        <v>3</v>
      </c>
      <c r="G8" s="19">
        <v>3</v>
      </c>
      <c r="H8" s="19">
        <v>3</v>
      </c>
      <c r="I8" s="20">
        <v>2</v>
      </c>
      <c r="J8" s="20">
        <v>2</v>
      </c>
      <c r="K8" s="20">
        <v>2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3</v>
      </c>
      <c r="AC8" s="20">
        <v>6</v>
      </c>
      <c r="AD8" s="20">
        <v>9</v>
      </c>
      <c r="AE8" s="20">
        <v>10</v>
      </c>
      <c r="AF8" s="20">
        <v>11</v>
      </c>
      <c r="AG8" s="48">
        <v>11</v>
      </c>
    </row>
    <row r="9" spans="1:108" s="18" customFormat="1" ht="14.1" customHeight="1">
      <c r="B9" s="52" t="s">
        <v>4</v>
      </c>
      <c r="C9" s="52"/>
      <c r="D9" s="52"/>
      <c r="E9" s="19">
        <v>655</v>
      </c>
      <c r="F9" s="19">
        <v>637</v>
      </c>
      <c r="G9" s="19">
        <v>632</v>
      </c>
      <c r="H9" s="19">
        <f>626-9</f>
        <v>617</v>
      </c>
      <c r="I9" s="20">
        <f>627-14</f>
        <v>613</v>
      </c>
      <c r="J9" s="20">
        <f>632-15</f>
        <v>617</v>
      </c>
      <c r="K9" s="20">
        <f>625-23</f>
        <v>602</v>
      </c>
      <c r="L9" s="20">
        <f>611-27</f>
        <v>584</v>
      </c>
      <c r="M9" s="20">
        <f>607-29</f>
        <v>578</v>
      </c>
      <c r="N9" s="20">
        <f>580-37</f>
        <v>543</v>
      </c>
      <c r="O9" s="20">
        <v>541</v>
      </c>
      <c r="P9" s="20">
        <f>558-36</f>
        <v>522</v>
      </c>
      <c r="Q9" s="20">
        <f>539-35</f>
        <v>504</v>
      </c>
      <c r="R9" s="20">
        <f>530-37</f>
        <v>493</v>
      </c>
      <c r="S9" s="20">
        <f>506-35</f>
        <v>471</v>
      </c>
      <c r="T9" s="20">
        <v>489</v>
      </c>
      <c r="U9" s="20">
        <v>483</v>
      </c>
      <c r="V9" s="20">
        <v>491</v>
      </c>
      <c r="W9" s="20">
        <v>498</v>
      </c>
      <c r="X9" s="20">
        <v>504</v>
      </c>
      <c r="Y9" s="20">
        <v>499</v>
      </c>
      <c r="Z9" s="20">
        <v>503</v>
      </c>
      <c r="AA9" s="20">
        <v>518</v>
      </c>
      <c r="AB9" s="20">
        <v>502</v>
      </c>
      <c r="AC9" s="20">
        <v>486</v>
      </c>
      <c r="AD9" s="20">
        <v>494</v>
      </c>
      <c r="AE9" s="20">
        <v>494</v>
      </c>
      <c r="AF9" s="20">
        <v>480</v>
      </c>
      <c r="AG9" s="48">
        <v>485</v>
      </c>
    </row>
    <row r="10" spans="1:108" s="18" customFormat="1" ht="14.1" customHeight="1">
      <c r="B10" s="52" t="s">
        <v>5</v>
      </c>
      <c r="C10" s="52"/>
      <c r="D10" s="52"/>
      <c r="E10" s="19">
        <v>409</v>
      </c>
      <c r="F10" s="19">
        <v>412</v>
      </c>
      <c r="G10" s="19">
        <v>428</v>
      </c>
      <c r="H10" s="19">
        <v>447</v>
      </c>
      <c r="I10" s="20">
        <v>452</v>
      </c>
      <c r="J10" s="20">
        <v>468</v>
      </c>
      <c r="K10" s="20">
        <v>462</v>
      </c>
      <c r="L10" s="20">
        <v>454</v>
      </c>
      <c r="M10" s="20">
        <v>467</v>
      </c>
      <c r="N10" s="20">
        <v>454</v>
      </c>
      <c r="O10" s="20">
        <v>428</v>
      </c>
      <c r="P10" s="20">
        <v>429</v>
      </c>
      <c r="Q10" s="20">
        <v>419</v>
      </c>
      <c r="R10" s="20">
        <v>419</v>
      </c>
      <c r="S10" s="20">
        <v>416</v>
      </c>
      <c r="T10" s="20">
        <v>418</v>
      </c>
      <c r="U10" s="20">
        <v>408</v>
      </c>
      <c r="V10" s="20">
        <v>404</v>
      </c>
      <c r="W10" s="20">
        <v>401</v>
      </c>
      <c r="X10" s="20">
        <v>425</v>
      </c>
      <c r="Y10" s="20">
        <v>418</v>
      </c>
      <c r="Z10" s="20">
        <v>416</v>
      </c>
      <c r="AA10" s="20">
        <v>422</v>
      </c>
      <c r="AB10" s="20">
        <v>423</v>
      </c>
      <c r="AC10" s="20">
        <v>427</v>
      </c>
      <c r="AD10" s="20">
        <v>431</v>
      </c>
      <c r="AE10" s="20">
        <v>409</v>
      </c>
      <c r="AF10" s="20">
        <v>402</v>
      </c>
      <c r="AG10" s="48">
        <v>409</v>
      </c>
    </row>
    <row r="11" spans="1:108" s="18" customFormat="1" ht="14.1" customHeight="1">
      <c r="B11" s="52" t="s">
        <v>6</v>
      </c>
      <c r="C11" s="52"/>
      <c r="D11" s="52"/>
      <c r="E11" s="19">
        <v>79</v>
      </c>
      <c r="F11" s="19">
        <v>77</v>
      </c>
      <c r="G11" s="19">
        <v>64</v>
      </c>
      <c r="H11" s="19">
        <v>63</v>
      </c>
      <c r="I11" s="20">
        <v>63</v>
      </c>
      <c r="J11" s="20">
        <v>55</v>
      </c>
      <c r="K11" s="20">
        <v>49</v>
      </c>
      <c r="L11" s="20">
        <v>38</v>
      </c>
      <c r="M11" s="20">
        <v>35</v>
      </c>
      <c r="N11" s="20">
        <v>28</v>
      </c>
      <c r="O11" s="20">
        <v>25</v>
      </c>
      <c r="P11" s="20">
        <v>24</v>
      </c>
      <c r="Q11" s="20">
        <v>18</v>
      </c>
      <c r="R11" s="20">
        <v>15</v>
      </c>
      <c r="S11" s="20">
        <v>15</v>
      </c>
      <c r="T11" s="20">
        <v>15</v>
      </c>
      <c r="U11" s="20">
        <v>15</v>
      </c>
      <c r="V11" s="20">
        <v>12</v>
      </c>
      <c r="W11" s="20">
        <v>11</v>
      </c>
      <c r="X11" s="20">
        <v>10</v>
      </c>
      <c r="Y11" s="20">
        <v>9</v>
      </c>
      <c r="Z11" s="20">
        <v>8</v>
      </c>
      <c r="AA11" s="20">
        <v>7</v>
      </c>
      <c r="AB11" s="20">
        <v>5</v>
      </c>
      <c r="AC11" s="20">
        <v>5</v>
      </c>
      <c r="AD11" s="20">
        <v>5</v>
      </c>
      <c r="AE11" s="20">
        <v>3</v>
      </c>
      <c r="AF11" s="20">
        <v>3</v>
      </c>
      <c r="AG11" s="48">
        <v>3</v>
      </c>
    </row>
    <row r="12" spans="1:108" s="17" customFormat="1" ht="15" customHeight="1">
      <c r="A12" s="50" t="s">
        <v>22</v>
      </c>
      <c r="B12" s="50"/>
      <c r="C12" s="50"/>
      <c r="D12" s="50"/>
      <c r="E12" s="21">
        <f t="shared" ref="E12:AB12" si="3">SUM(E13:E16)</f>
        <v>274</v>
      </c>
      <c r="F12" s="21">
        <f t="shared" si="3"/>
        <v>268</v>
      </c>
      <c r="G12" s="21">
        <f t="shared" si="3"/>
        <v>271</v>
      </c>
      <c r="H12" s="21">
        <f t="shared" si="3"/>
        <v>266</v>
      </c>
      <c r="I12" s="15">
        <f t="shared" si="3"/>
        <v>257</v>
      </c>
      <c r="J12" s="15">
        <f t="shared" si="3"/>
        <v>245</v>
      </c>
      <c r="K12" s="15">
        <f t="shared" si="3"/>
        <v>257</v>
      </c>
      <c r="L12" s="15">
        <f t="shared" si="3"/>
        <v>265</v>
      </c>
      <c r="M12" s="15">
        <f t="shared" si="3"/>
        <v>276</v>
      </c>
      <c r="N12" s="15">
        <f t="shared" si="3"/>
        <v>309</v>
      </c>
      <c r="O12" s="15">
        <f t="shared" si="3"/>
        <v>348</v>
      </c>
      <c r="P12" s="15">
        <f t="shared" si="3"/>
        <v>337</v>
      </c>
      <c r="Q12" s="15">
        <f t="shared" si="3"/>
        <v>335</v>
      </c>
      <c r="R12" s="15">
        <f t="shared" si="3"/>
        <v>362</v>
      </c>
      <c r="S12" s="15">
        <f t="shared" si="3"/>
        <v>361</v>
      </c>
      <c r="T12" s="15">
        <f t="shared" si="3"/>
        <v>360</v>
      </c>
      <c r="U12" s="15">
        <f t="shared" si="3"/>
        <v>328</v>
      </c>
      <c r="V12" s="15">
        <f t="shared" si="3"/>
        <v>308</v>
      </c>
      <c r="W12" s="15">
        <f t="shared" si="3"/>
        <v>327</v>
      </c>
      <c r="X12" s="15">
        <f t="shared" si="3"/>
        <v>328</v>
      </c>
      <c r="Y12" s="15">
        <f t="shared" si="3"/>
        <v>300</v>
      </c>
      <c r="Z12" s="15">
        <f t="shared" si="3"/>
        <v>286</v>
      </c>
      <c r="AA12" s="15">
        <f t="shared" si="3"/>
        <v>303</v>
      </c>
      <c r="AB12" s="15">
        <f t="shared" si="3"/>
        <v>293</v>
      </c>
      <c r="AC12" s="15">
        <f t="shared" ref="AC12:AF12" si="4">SUM(AC13:AC16)</f>
        <v>315</v>
      </c>
      <c r="AD12" s="15">
        <f t="shared" ref="AD12:AE12" si="5">SUM(AD13:AD16)</f>
        <v>369</v>
      </c>
      <c r="AE12" s="15">
        <f t="shared" si="5"/>
        <v>376</v>
      </c>
      <c r="AF12" s="15">
        <f t="shared" si="4"/>
        <v>383</v>
      </c>
      <c r="AG12" s="15">
        <f>SUM(AG13:AG15)</f>
        <v>369</v>
      </c>
    </row>
    <row r="13" spans="1:108" s="18" customFormat="1" ht="14.1" customHeight="1">
      <c r="B13" s="52" t="s">
        <v>4</v>
      </c>
      <c r="C13" s="52"/>
      <c r="D13" s="52"/>
      <c r="E13" s="19">
        <v>2</v>
      </c>
      <c r="F13" s="19">
        <v>2</v>
      </c>
      <c r="G13" s="19">
        <v>2</v>
      </c>
      <c r="H13" s="19">
        <v>1</v>
      </c>
      <c r="I13" s="20">
        <v>0</v>
      </c>
      <c r="J13" s="20">
        <v>0</v>
      </c>
      <c r="K13" s="20">
        <v>0</v>
      </c>
      <c r="L13" s="20">
        <v>1</v>
      </c>
      <c r="M13" s="20">
        <v>2</v>
      </c>
      <c r="N13" s="20">
        <v>4</v>
      </c>
      <c r="O13" s="20">
        <v>4</v>
      </c>
      <c r="P13" s="20">
        <v>4</v>
      </c>
      <c r="Q13" s="20">
        <v>4</v>
      </c>
      <c r="R13" s="20">
        <v>6</v>
      </c>
      <c r="S13" s="20">
        <v>6</v>
      </c>
      <c r="T13" s="20">
        <v>3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48">
        <v>0</v>
      </c>
    </row>
    <row r="14" spans="1:108" s="18" customFormat="1" ht="14.1" customHeight="1">
      <c r="B14" s="52" t="s">
        <v>5</v>
      </c>
      <c r="C14" s="52"/>
      <c r="D14" s="52"/>
      <c r="E14" s="19">
        <v>19</v>
      </c>
      <c r="F14" s="19">
        <v>17</v>
      </c>
      <c r="G14" s="19">
        <v>14</v>
      </c>
      <c r="H14" s="19">
        <v>14</v>
      </c>
      <c r="I14" s="20">
        <v>11</v>
      </c>
      <c r="J14" s="20">
        <v>12</v>
      </c>
      <c r="K14" s="20">
        <v>10</v>
      </c>
      <c r="L14" s="20">
        <v>9</v>
      </c>
      <c r="M14" s="20">
        <v>13</v>
      </c>
      <c r="N14" s="20">
        <v>15</v>
      </c>
      <c r="O14" s="20">
        <v>17</v>
      </c>
      <c r="P14" s="20">
        <v>15</v>
      </c>
      <c r="Q14" s="20">
        <v>17</v>
      </c>
      <c r="R14" s="20">
        <v>21</v>
      </c>
      <c r="S14" s="20">
        <v>18</v>
      </c>
      <c r="T14" s="20">
        <v>17</v>
      </c>
      <c r="U14" s="20">
        <v>14</v>
      </c>
      <c r="V14" s="20">
        <v>16</v>
      </c>
      <c r="W14" s="20">
        <v>14</v>
      </c>
      <c r="X14" s="20">
        <v>10</v>
      </c>
      <c r="Y14" s="20">
        <v>8</v>
      </c>
      <c r="Z14" s="20">
        <v>6</v>
      </c>
      <c r="AA14" s="20">
        <v>8</v>
      </c>
      <c r="AB14" s="20">
        <v>7</v>
      </c>
      <c r="AC14" s="20">
        <v>6</v>
      </c>
      <c r="AD14" s="20">
        <v>7</v>
      </c>
      <c r="AE14" s="20">
        <v>10</v>
      </c>
      <c r="AF14" s="20">
        <v>12</v>
      </c>
      <c r="AG14" s="48">
        <v>12</v>
      </c>
    </row>
    <row r="15" spans="1:108" s="18" customFormat="1" ht="14.1" customHeight="1">
      <c r="B15" s="52" t="s">
        <v>6</v>
      </c>
      <c r="C15" s="52"/>
      <c r="D15" s="52"/>
      <c r="E15" s="19">
        <v>247</v>
      </c>
      <c r="F15" s="19">
        <v>246</v>
      </c>
      <c r="G15" s="19">
        <v>252</v>
      </c>
      <c r="H15" s="19">
        <v>248</v>
      </c>
      <c r="I15" s="20">
        <v>242</v>
      </c>
      <c r="J15" s="20">
        <v>232</v>
      </c>
      <c r="K15" s="20">
        <v>246</v>
      </c>
      <c r="L15" s="20">
        <v>254</v>
      </c>
      <c r="M15" s="20">
        <v>258</v>
      </c>
      <c r="N15" s="20">
        <v>290</v>
      </c>
      <c r="O15" s="20">
        <v>327</v>
      </c>
      <c r="P15" s="20">
        <v>316</v>
      </c>
      <c r="Q15" s="20">
        <v>313</v>
      </c>
      <c r="R15" s="20">
        <v>335</v>
      </c>
      <c r="S15" s="20">
        <v>337</v>
      </c>
      <c r="T15" s="20">
        <v>340</v>
      </c>
      <c r="U15" s="20">
        <v>313</v>
      </c>
      <c r="V15" s="20">
        <v>291</v>
      </c>
      <c r="W15" s="20">
        <v>312</v>
      </c>
      <c r="X15" s="20">
        <v>317</v>
      </c>
      <c r="Y15" s="20">
        <v>291</v>
      </c>
      <c r="Z15" s="20">
        <v>280</v>
      </c>
      <c r="AA15" s="20">
        <v>295</v>
      </c>
      <c r="AB15" s="20">
        <v>286</v>
      </c>
      <c r="AC15" s="20">
        <v>309</v>
      </c>
      <c r="AD15" s="20">
        <v>362</v>
      </c>
      <c r="AE15" s="20">
        <v>366</v>
      </c>
      <c r="AF15" s="20">
        <v>371</v>
      </c>
      <c r="AG15" s="48">
        <v>357</v>
      </c>
    </row>
    <row r="16" spans="1:108" s="6" customFormat="1" ht="10.9" hidden="1" customHeight="1">
      <c r="B16" s="6" t="s">
        <v>7</v>
      </c>
      <c r="E16" s="7">
        <v>6</v>
      </c>
      <c r="F16" s="7">
        <v>3</v>
      </c>
      <c r="G16" s="7">
        <v>3</v>
      </c>
      <c r="H16" s="7">
        <v>3</v>
      </c>
      <c r="I16" s="8">
        <v>4</v>
      </c>
      <c r="J16" s="8">
        <v>1</v>
      </c>
      <c r="K16" s="8">
        <v>1</v>
      </c>
      <c r="L16" s="8">
        <v>1</v>
      </c>
      <c r="M16" s="8">
        <v>3</v>
      </c>
      <c r="N16" s="8">
        <v>0</v>
      </c>
      <c r="O16" s="8">
        <v>0</v>
      </c>
      <c r="P16" s="8">
        <v>2</v>
      </c>
      <c r="Q16" s="8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57"/>
    </row>
    <row r="17" spans="1:33" s="17" customFormat="1" ht="15" customHeight="1">
      <c r="C17" s="22" t="s">
        <v>8</v>
      </c>
      <c r="D17" s="22"/>
      <c r="E17" s="21">
        <f t="shared" ref="E17:AB17" si="6">SUM(E18:E23)</f>
        <v>1469</v>
      </c>
      <c r="F17" s="21">
        <f t="shared" si="6"/>
        <v>1448</v>
      </c>
      <c r="G17" s="21">
        <f t="shared" si="6"/>
        <v>1448</v>
      </c>
      <c r="H17" s="21">
        <f t="shared" si="6"/>
        <v>1457</v>
      </c>
      <c r="I17" s="21">
        <f t="shared" si="6"/>
        <v>1455</v>
      </c>
      <c r="J17" s="21">
        <f t="shared" si="6"/>
        <v>1455</v>
      </c>
      <c r="K17" s="21">
        <f t="shared" si="6"/>
        <v>1453</v>
      </c>
      <c r="L17" s="21">
        <f t="shared" si="6"/>
        <v>1427</v>
      </c>
      <c r="M17" s="21">
        <f t="shared" si="6"/>
        <v>1439</v>
      </c>
      <c r="N17" s="21">
        <f t="shared" si="6"/>
        <v>1423</v>
      </c>
      <c r="O17" s="21">
        <f t="shared" si="6"/>
        <v>1425</v>
      </c>
      <c r="P17" s="21">
        <f t="shared" si="6"/>
        <v>1396</v>
      </c>
      <c r="Q17" s="21">
        <f t="shared" si="6"/>
        <v>1355</v>
      </c>
      <c r="R17" s="21">
        <f t="shared" si="6"/>
        <v>1369</v>
      </c>
      <c r="S17" s="21">
        <f t="shared" si="6"/>
        <v>1339</v>
      </c>
      <c r="T17" s="21">
        <f t="shared" si="6"/>
        <v>1358</v>
      </c>
      <c r="U17" s="21">
        <f t="shared" si="6"/>
        <v>1313</v>
      </c>
      <c r="V17" s="21">
        <f t="shared" si="6"/>
        <v>1292</v>
      </c>
      <c r="W17" s="21">
        <f t="shared" si="6"/>
        <v>1314</v>
      </c>
      <c r="X17" s="21">
        <f t="shared" si="6"/>
        <v>1346</v>
      </c>
      <c r="Y17" s="21">
        <f t="shared" si="6"/>
        <v>1308</v>
      </c>
      <c r="Z17" s="21">
        <f t="shared" si="6"/>
        <v>1293</v>
      </c>
      <c r="AA17" s="21">
        <f t="shared" si="6"/>
        <v>1331</v>
      </c>
      <c r="AB17" s="21">
        <f t="shared" si="6"/>
        <v>1306</v>
      </c>
      <c r="AC17" s="21">
        <f t="shared" ref="AC17:AE17" si="7">SUM(AC18:AC23)</f>
        <v>1318</v>
      </c>
      <c r="AD17" s="21">
        <f t="shared" si="7"/>
        <v>1389</v>
      </c>
      <c r="AE17" s="21">
        <f t="shared" si="7"/>
        <v>1373</v>
      </c>
      <c r="AF17" s="21">
        <f>SUM(AF18:AF23)</f>
        <v>1362</v>
      </c>
      <c r="AG17" s="21">
        <f>SUM(AG18:AG23)</f>
        <v>1355</v>
      </c>
    </row>
    <row r="18" spans="1:33" s="32" customFormat="1" ht="14.1" customHeight="1">
      <c r="A18" s="30"/>
      <c r="B18" s="30"/>
      <c r="C18" s="30"/>
      <c r="D18" s="52" t="s">
        <v>15</v>
      </c>
      <c r="E18" s="52">
        <f t="shared" ref="E18:AB18" si="8">E6</f>
        <v>48</v>
      </c>
      <c r="F18" s="52">
        <f t="shared" si="8"/>
        <v>51</v>
      </c>
      <c r="G18" s="31">
        <f t="shared" si="8"/>
        <v>50</v>
      </c>
      <c r="H18" s="31">
        <f t="shared" si="8"/>
        <v>52</v>
      </c>
      <c r="I18" s="31">
        <f t="shared" si="8"/>
        <v>54</v>
      </c>
      <c r="J18" s="31">
        <f t="shared" si="8"/>
        <v>53</v>
      </c>
      <c r="K18" s="31">
        <f t="shared" si="8"/>
        <v>58</v>
      </c>
      <c r="L18" s="31">
        <f t="shared" si="8"/>
        <v>58</v>
      </c>
      <c r="M18" s="31">
        <f t="shared" si="8"/>
        <v>53</v>
      </c>
      <c r="N18" s="31">
        <f t="shared" si="8"/>
        <v>51</v>
      </c>
      <c r="O18" s="31">
        <f t="shared" si="8"/>
        <v>49</v>
      </c>
      <c r="P18" s="31">
        <f t="shared" si="8"/>
        <v>47</v>
      </c>
      <c r="Q18" s="31">
        <f t="shared" si="8"/>
        <v>43</v>
      </c>
      <c r="R18" s="31">
        <f t="shared" si="8"/>
        <v>42</v>
      </c>
      <c r="S18" s="31">
        <f t="shared" si="8"/>
        <v>41</v>
      </c>
      <c r="T18" s="31">
        <f t="shared" si="8"/>
        <v>38</v>
      </c>
      <c r="U18" s="31">
        <f t="shared" si="8"/>
        <v>39</v>
      </c>
      <c r="V18" s="31">
        <f t="shared" si="8"/>
        <v>39</v>
      </c>
      <c r="W18" s="31">
        <f t="shared" si="8"/>
        <v>38</v>
      </c>
      <c r="X18" s="31">
        <f t="shared" si="8"/>
        <v>39</v>
      </c>
      <c r="Y18" s="31">
        <f t="shared" si="8"/>
        <v>41</v>
      </c>
      <c r="Z18" s="31">
        <f t="shared" si="8"/>
        <v>40</v>
      </c>
      <c r="AA18" s="31">
        <f t="shared" si="8"/>
        <v>41</v>
      </c>
      <c r="AB18" s="31">
        <f t="shared" si="8"/>
        <v>41</v>
      </c>
      <c r="AC18" s="31">
        <f t="shared" ref="AC18" si="9">AC6</f>
        <v>42</v>
      </c>
      <c r="AD18" s="31">
        <f t="shared" ref="AD18:AE18" si="10">AD6</f>
        <v>44</v>
      </c>
      <c r="AE18" s="31">
        <f t="shared" si="10"/>
        <v>44</v>
      </c>
      <c r="AF18" s="31">
        <f t="shared" ref="AF18:AG20" si="11">AF6</f>
        <v>48</v>
      </c>
      <c r="AG18" s="58">
        <f>AG6</f>
        <v>47</v>
      </c>
    </row>
    <row r="19" spans="1:33" s="32" customFormat="1" ht="14.1" customHeight="1">
      <c r="A19" s="30"/>
      <c r="B19" s="30"/>
      <c r="C19" s="30"/>
      <c r="D19" s="33" t="s">
        <v>16</v>
      </c>
      <c r="E19" s="31">
        <f t="shared" ref="E19:AB19" si="12">E7</f>
        <v>0</v>
      </c>
      <c r="F19" s="31">
        <f t="shared" si="12"/>
        <v>0</v>
      </c>
      <c r="G19" s="31">
        <f t="shared" si="12"/>
        <v>0</v>
      </c>
      <c r="H19" s="31">
        <f t="shared" si="12"/>
        <v>9</v>
      </c>
      <c r="I19" s="31">
        <f t="shared" si="12"/>
        <v>14</v>
      </c>
      <c r="J19" s="31">
        <f t="shared" si="12"/>
        <v>15</v>
      </c>
      <c r="K19" s="31">
        <f t="shared" si="12"/>
        <v>23</v>
      </c>
      <c r="L19" s="31">
        <f t="shared" si="12"/>
        <v>27</v>
      </c>
      <c r="M19" s="31">
        <f t="shared" si="12"/>
        <v>29</v>
      </c>
      <c r="N19" s="31">
        <f t="shared" si="12"/>
        <v>37</v>
      </c>
      <c r="O19" s="31">
        <f t="shared" si="12"/>
        <v>33</v>
      </c>
      <c r="P19" s="31">
        <f t="shared" si="12"/>
        <v>36</v>
      </c>
      <c r="Q19" s="31">
        <f t="shared" si="12"/>
        <v>35</v>
      </c>
      <c r="R19" s="31">
        <f t="shared" si="12"/>
        <v>37</v>
      </c>
      <c r="S19" s="31">
        <f t="shared" si="12"/>
        <v>35</v>
      </c>
      <c r="T19" s="31">
        <f t="shared" si="12"/>
        <v>38</v>
      </c>
      <c r="U19" s="31">
        <f t="shared" si="12"/>
        <v>40</v>
      </c>
      <c r="V19" s="31">
        <f t="shared" si="12"/>
        <v>38</v>
      </c>
      <c r="W19" s="31">
        <f t="shared" si="12"/>
        <v>39</v>
      </c>
      <c r="X19" s="31">
        <f t="shared" si="12"/>
        <v>40</v>
      </c>
      <c r="Y19" s="31">
        <f t="shared" si="12"/>
        <v>41</v>
      </c>
      <c r="Z19" s="31">
        <f t="shared" si="12"/>
        <v>40</v>
      </c>
      <c r="AA19" s="31">
        <f t="shared" si="12"/>
        <v>40</v>
      </c>
      <c r="AB19" s="31">
        <f t="shared" si="12"/>
        <v>39</v>
      </c>
      <c r="AC19" s="31">
        <f t="shared" ref="AC19" si="13">AC7</f>
        <v>37</v>
      </c>
      <c r="AD19" s="31">
        <f t="shared" ref="AD19:AE19" si="14">AD7</f>
        <v>37</v>
      </c>
      <c r="AE19" s="31">
        <f t="shared" si="14"/>
        <v>37</v>
      </c>
      <c r="AF19" s="31">
        <f t="shared" si="11"/>
        <v>35</v>
      </c>
      <c r="AG19" s="58">
        <f>AG7</f>
        <v>31</v>
      </c>
    </row>
    <row r="20" spans="1:33" s="18" customFormat="1" ht="14.1" customHeight="1">
      <c r="D20" s="33" t="s">
        <v>19</v>
      </c>
      <c r="E20" s="19">
        <f t="shared" ref="E20:AA20" si="15">E8+E16</f>
        <v>10</v>
      </c>
      <c r="F20" s="19">
        <f t="shared" si="15"/>
        <v>6</v>
      </c>
      <c r="G20" s="19">
        <f t="shared" si="15"/>
        <v>6</v>
      </c>
      <c r="H20" s="19">
        <f t="shared" si="15"/>
        <v>6</v>
      </c>
      <c r="I20" s="19">
        <f t="shared" si="15"/>
        <v>6</v>
      </c>
      <c r="J20" s="19">
        <f t="shared" si="15"/>
        <v>3</v>
      </c>
      <c r="K20" s="19">
        <f t="shared" si="15"/>
        <v>3</v>
      </c>
      <c r="L20" s="19">
        <f t="shared" si="15"/>
        <v>2</v>
      </c>
      <c r="M20" s="19">
        <f t="shared" si="15"/>
        <v>4</v>
      </c>
      <c r="N20" s="19">
        <f t="shared" si="15"/>
        <v>1</v>
      </c>
      <c r="O20" s="20">
        <f t="shared" si="15"/>
        <v>1</v>
      </c>
      <c r="P20" s="20">
        <f t="shared" si="15"/>
        <v>3</v>
      </c>
      <c r="Q20" s="20">
        <f t="shared" si="15"/>
        <v>2</v>
      </c>
      <c r="R20" s="20">
        <f t="shared" si="15"/>
        <v>1</v>
      </c>
      <c r="S20" s="20">
        <f t="shared" si="15"/>
        <v>0</v>
      </c>
      <c r="T20" s="20">
        <f t="shared" si="15"/>
        <v>0</v>
      </c>
      <c r="U20" s="20">
        <f t="shared" si="15"/>
        <v>0</v>
      </c>
      <c r="V20" s="20">
        <f t="shared" si="15"/>
        <v>0</v>
      </c>
      <c r="W20" s="20">
        <f t="shared" si="15"/>
        <v>0</v>
      </c>
      <c r="X20" s="20">
        <f t="shared" si="15"/>
        <v>0</v>
      </c>
      <c r="Y20" s="20">
        <f t="shared" si="15"/>
        <v>0</v>
      </c>
      <c r="Z20" s="20">
        <f t="shared" si="15"/>
        <v>0</v>
      </c>
      <c r="AA20" s="20">
        <f t="shared" si="15"/>
        <v>0</v>
      </c>
      <c r="AB20" s="20">
        <f>AB8</f>
        <v>3</v>
      </c>
      <c r="AC20" s="20">
        <f>AC8</f>
        <v>6</v>
      </c>
      <c r="AD20" s="20">
        <f>AD8</f>
        <v>9</v>
      </c>
      <c r="AE20" s="20">
        <f>AE8</f>
        <v>10</v>
      </c>
      <c r="AF20" s="20">
        <f t="shared" si="11"/>
        <v>11</v>
      </c>
      <c r="AG20" s="48">
        <f>AG8</f>
        <v>11</v>
      </c>
    </row>
    <row r="21" spans="1:33" s="18" customFormat="1" ht="14.1" customHeight="1">
      <c r="D21" s="33" t="s">
        <v>17</v>
      </c>
      <c r="E21" s="19">
        <f t="shared" ref="E21:AB21" si="16">E9+E13</f>
        <v>657</v>
      </c>
      <c r="F21" s="19">
        <f t="shared" si="16"/>
        <v>639</v>
      </c>
      <c r="G21" s="19">
        <f t="shared" si="16"/>
        <v>634</v>
      </c>
      <c r="H21" s="19">
        <f t="shared" si="16"/>
        <v>618</v>
      </c>
      <c r="I21" s="19">
        <f t="shared" si="16"/>
        <v>613</v>
      </c>
      <c r="J21" s="19">
        <f t="shared" si="16"/>
        <v>617</v>
      </c>
      <c r="K21" s="19">
        <f t="shared" si="16"/>
        <v>602</v>
      </c>
      <c r="L21" s="19">
        <f t="shared" si="16"/>
        <v>585</v>
      </c>
      <c r="M21" s="19">
        <f t="shared" si="16"/>
        <v>580</v>
      </c>
      <c r="N21" s="19">
        <f t="shared" si="16"/>
        <v>547</v>
      </c>
      <c r="O21" s="19">
        <f t="shared" si="16"/>
        <v>545</v>
      </c>
      <c r="P21" s="19">
        <f t="shared" si="16"/>
        <v>526</v>
      </c>
      <c r="Q21" s="19">
        <f t="shared" si="16"/>
        <v>508</v>
      </c>
      <c r="R21" s="19">
        <f t="shared" si="16"/>
        <v>499</v>
      </c>
      <c r="S21" s="19">
        <f t="shared" si="16"/>
        <v>477</v>
      </c>
      <c r="T21" s="19">
        <f t="shared" si="16"/>
        <v>492</v>
      </c>
      <c r="U21" s="19">
        <f t="shared" si="16"/>
        <v>484</v>
      </c>
      <c r="V21" s="19">
        <f t="shared" si="16"/>
        <v>492</v>
      </c>
      <c r="W21" s="19">
        <f t="shared" si="16"/>
        <v>499</v>
      </c>
      <c r="X21" s="19">
        <f t="shared" si="16"/>
        <v>505</v>
      </c>
      <c r="Y21" s="19">
        <f t="shared" si="16"/>
        <v>500</v>
      </c>
      <c r="Z21" s="19">
        <f t="shared" si="16"/>
        <v>503</v>
      </c>
      <c r="AA21" s="19">
        <f t="shared" si="16"/>
        <v>518</v>
      </c>
      <c r="AB21" s="19">
        <f t="shared" si="16"/>
        <v>502</v>
      </c>
      <c r="AC21" s="19">
        <f t="shared" ref="AC21:AF23" si="17">AC9+AC13</f>
        <v>486</v>
      </c>
      <c r="AD21" s="19">
        <f t="shared" ref="AD21:AE21" si="18">AD9+AD13</f>
        <v>494</v>
      </c>
      <c r="AE21" s="19">
        <f t="shared" si="18"/>
        <v>494</v>
      </c>
      <c r="AF21" s="19">
        <f t="shared" si="17"/>
        <v>480</v>
      </c>
      <c r="AG21" s="59">
        <f>AG9+AG13</f>
        <v>485</v>
      </c>
    </row>
    <row r="22" spans="1:33" s="18" customFormat="1" ht="14.1" customHeight="1">
      <c r="D22" s="33" t="s">
        <v>20</v>
      </c>
      <c r="E22" s="19">
        <f t="shared" ref="E22:AB22" si="19">E10+E14</f>
        <v>428</v>
      </c>
      <c r="F22" s="19">
        <f t="shared" si="19"/>
        <v>429</v>
      </c>
      <c r="G22" s="19">
        <f t="shared" si="19"/>
        <v>442</v>
      </c>
      <c r="H22" s="19">
        <f t="shared" si="19"/>
        <v>461</v>
      </c>
      <c r="I22" s="19">
        <f t="shared" si="19"/>
        <v>463</v>
      </c>
      <c r="J22" s="19">
        <f t="shared" si="19"/>
        <v>480</v>
      </c>
      <c r="K22" s="19">
        <f t="shared" si="19"/>
        <v>472</v>
      </c>
      <c r="L22" s="19">
        <f t="shared" si="19"/>
        <v>463</v>
      </c>
      <c r="M22" s="19">
        <f t="shared" si="19"/>
        <v>480</v>
      </c>
      <c r="N22" s="19">
        <f t="shared" si="19"/>
        <v>469</v>
      </c>
      <c r="O22" s="20">
        <f t="shared" si="19"/>
        <v>445</v>
      </c>
      <c r="P22" s="20">
        <f t="shared" si="19"/>
        <v>444</v>
      </c>
      <c r="Q22" s="20">
        <f t="shared" si="19"/>
        <v>436</v>
      </c>
      <c r="R22" s="20">
        <f t="shared" si="19"/>
        <v>440</v>
      </c>
      <c r="S22" s="20">
        <f t="shared" si="19"/>
        <v>434</v>
      </c>
      <c r="T22" s="20">
        <f t="shared" si="19"/>
        <v>435</v>
      </c>
      <c r="U22" s="20">
        <f t="shared" si="19"/>
        <v>422</v>
      </c>
      <c r="V22" s="20">
        <f t="shared" si="19"/>
        <v>420</v>
      </c>
      <c r="W22" s="20">
        <f t="shared" si="19"/>
        <v>415</v>
      </c>
      <c r="X22" s="20">
        <f t="shared" si="19"/>
        <v>435</v>
      </c>
      <c r="Y22" s="20">
        <f t="shared" si="19"/>
        <v>426</v>
      </c>
      <c r="Z22" s="20">
        <f t="shared" si="19"/>
        <v>422</v>
      </c>
      <c r="AA22" s="20">
        <f t="shared" si="19"/>
        <v>430</v>
      </c>
      <c r="AB22" s="20">
        <f t="shared" si="19"/>
        <v>430</v>
      </c>
      <c r="AC22" s="20">
        <f t="shared" si="17"/>
        <v>433</v>
      </c>
      <c r="AD22" s="20">
        <f t="shared" ref="AD22:AE22" si="20">AD10+AD14</f>
        <v>438</v>
      </c>
      <c r="AE22" s="20">
        <f t="shared" si="20"/>
        <v>419</v>
      </c>
      <c r="AF22" s="20">
        <f>AF10+AF14</f>
        <v>414</v>
      </c>
      <c r="AG22" s="48">
        <f>AG10+AG14</f>
        <v>421</v>
      </c>
    </row>
    <row r="23" spans="1:33" s="18" customFormat="1" ht="14.1" customHeight="1">
      <c r="D23" s="33" t="s">
        <v>18</v>
      </c>
      <c r="E23" s="19">
        <f t="shared" ref="E23:AB23" si="21">E11+E15</f>
        <v>326</v>
      </c>
      <c r="F23" s="19">
        <f t="shared" si="21"/>
        <v>323</v>
      </c>
      <c r="G23" s="19">
        <f t="shared" si="21"/>
        <v>316</v>
      </c>
      <c r="H23" s="19">
        <f t="shared" si="21"/>
        <v>311</v>
      </c>
      <c r="I23" s="19">
        <f t="shared" si="21"/>
        <v>305</v>
      </c>
      <c r="J23" s="19">
        <f t="shared" si="21"/>
        <v>287</v>
      </c>
      <c r="K23" s="19">
        <f t="shared" si="21"/>
        <v>295</v>
      </c>
      <c r="L23" s="19">
        <f t="shared" si="21"/>
        <v>292</v>
      </c>
      <c r="M23" s="19">
        <f t="shared" si="21"/>
        <v>293</v>
      </c>
      <c r="N23" s="19">
        <f t="shared" si="21"/>
        <v>318</v>
      </c>
      <c r="O23" s="20">
        <f t="shared" si="21"/>
        <v>352</v>
      </c>
      <c r="P23" s="20">
        <f t="shared" si="21"/>
        <v>340</v>
      </c>
      <c r="Q23" s="20">
        <f t="shared" si="21"/>
        <v>331</v>
      </c>
      <c r="R23" s="20">
        <f t="shared" si="21"/>
        <v>350</v>
      </c>
      <c r="S23" s="20">
        <f t="shared" si="21"/>
        <v>352</v>
      </c>
      <c r="T23" s="20">
        <f t="shared" si="21"/>
        <v>355</v>
      </c>
      <c r="U23" s="20">
        <f t="shared" si="21"/>
        <v>328</v>
      </c>
      <c r="V23" s="20">
        <f t="shared" si="21"/>
        <v>303</v>
      </c>
      <c r="W23" s="20">
        <f t="shared" si="21"/>
        <v>323</v>
      </c>
      <c r="X23" s="20">
        <f t="shared" si="21"/>
        <v>327</v>
      </c>
      <c r="Y23" s="20">
        <f t="shared" si="21"/>
        <v>300</v>
      </c>
      <c r="Z23" s="20">
        <f t="shared" si="21"/>
        <v>288</v>
      </c>
      <c r="AA23" s="20">
        <f t="shared" si="21"/>
        <v>302</v>
      </c>
      <c r="AB23" s="20">
        <f t="shared" si="21"/>
        <v>291</v>
      </c>
      <c r="AC23" s="20">
        <f t="shared" si="17"/>
        <v>314</v>
      </c>
      <c r="AD23" s="20">
        <f t="shared" ref="AD23:AE23" si="22">AD11+AD15</f>
        <v>367</v>
      </c>
      <c r="AE23" s="20">
        <f t="shared" si="22"/>
        <v>369</v>
      </c>
      <c r="AF23" s="20">
        <f>AF11+AF15</f>
        <v>374</v>
      </c>
      <c r="AG23" s="48">
        <f>AG11+AG15</f>
        <v>360</v>
      </c>
    </row>
    <row r="24" spans="1:33" s="17" customFormat="1" ht="15" customHeight="1">
      <c r="A24" s="50" t="s">
        <v>23</v>
      </c>
      <c r="B24" s="50"/>
      <c r="C24" s="50"/>
      <c r="D24" s="50"/>
      <c r="E24" s="23">
        <f t="shared" ref="E24:P24" si="23">SUM(E25:E28)</f>
        <v>434</v>
      </c>
      <c r="F24" s="23">
        <f t="shared" si="23"/>
        <v>337</v>
      </c>
      <c r="G24" s="23">
        <f t="shared" si="23"/>
        <v>311</v>
      </c>
      <c r="H24" s="23">
        <f t="shared" si="23"/>
        <v>305</v>
      </c>
      <c r="I24" s="24">
        <f t="shared" si="23"/>
        <v>304</v>
      </c>
      <c r="J24" s="24">
        <f t="shared" si="23"/>
        <v>326</v>
      </c>
      <c r="K24" s="24">
        <f t="shared" si="23"/>
        <v>333</v>
      </c>
      <c r="L24" s="24">
        <f t="shared" si="23"/>
        <v>322</v>
      </c>
      <c r="M24" s="24">
        <f t="shared" si="23"/>
        <v>358</v>
      </c>
      <c r="N24" s="24">
        <f t="shared" si="23"/>
        <v>358</v>
      </c>
      <c r="O24" s="15">
        <f t="shared" si="23"/>
        <v>354</v>
      </c>
      <c r="P24" s="15">
        <f t="shared" si="23"/>
        <v>361</v>
      </c>
      <c r="Q24" s="15">
        <f t="shared" ref="Q24:AB24" si="24">SUM(Q25:Q29)</f>
        <v>365</v>
      </c>
      <c r="R24" s="15">
        <f t="shared" si="24"/>
        <v>382</v>
      </c>
      <c r="S24" s="15">
        <f t="shared" si="24"/>
        <v>368</v>
      </c>
      <c r="T24" s="15">
        <f t="shared" si="24"/>
        <v>376</v>
      </c>
      <c r="U24" s="15">
        <f t="shared" si="24"/>
        <v>396</v>
      </c>
      <c r="V24" s="15">
        <f t="shared" si="24"/>
        <v>384</v>
      </c>
      <c r="W24" s="15">
        <f t="shared" si="24"/>
        <v>409</v>
      </c>
      <c r="X24" s="15">
        <f t="shared" si="24"/>
        <v>400</v>
      </c>
      <c r="Y24" s="15">
        <f t="shared" si="24"/>
        <v>432</v>
      </c>
      <c r="Z24" s="15">
        <f t="shared" si="24"/>
        <v>473</v>
      </c>
      <c r="AA24" s="15">
        <f t="shared" si="24"/>
        <v>514</v>
      </c>
      <c r="AB24" s="15">
        <f t="shared" si="24"/>
        <v>563</v>
      </c>
      <c r="AC24" s="15">
        <f t="shared" ref="AC24:AF24" si="25">SUM(AC25:AC29)</f>
        <v>574</v>
      </c>
      <c r="AD24" s="15">
        <f t="shared" ref="AD24:AE24" si="26">SUM(AD25:AD29)</f>
        <v>584</v>
      </c>
      <c r="AE24" s="15">
        <f t="shared" si="26"/>
        <v>596</v>
      </c>
      <c r="AF24" s="15">
        <f t="shared" si="25"/>
        <v>604</v>
      </c>
      <c r="AG24" s="15">
        <f>SUM(AG25:AG29)</f>
        <v>578</v>
      </c>
    </row>
    <row r="25" spans="1:33" s="18" customFormat="1" ht="14.1" customHeight="1">
      <c r="B25" s="52" t="s">
        <v>4</v>
      </c>
      <c r="C25" s="52"/>
      <c r="D25" s="52"/>
      <c r="E25" s="19">
        <f>8+1+6</f>
        <v>15</v>
      </c>
      <c r="F25" s="19">
        <f>10+1+5</f>
        <v>16</v>
      </c>
      <c r="G25" s="19">
        <f>10+1+3</f>
        <v>14</v>
      </c>
      <c r="H25" s="19">
        <f>7+0+3</f>
        <v>10</v>
      </c>
      <c r="I25" s="20">
        <v>12</v>
      </c>
      <c r="J25" s="20">
        <f>6+4</f>
        <v>10</v>
      </c>
      <c r="K25" s="20">
        <f>5+0+3</f>
        <v>8</v>
      </c>
      <c r="L25" s="20">
        <v>10</v>
      </c>
      <c r="M25" s="20">
        <v>14</v>
      </c>
      <c r="N25" s="20">
        <f>5+2+7</f>
        <v>14</v>
      </c>
      <c r="O25" s="20">
        <v>13</v>
      </c>
      <c r="P25" s="20">
        <v>16</v>
      </c>
      <c r="Q25" s="20">
        <f>Q31+Q32+Q34-Q18-Q19-Q21</f>
        <v>10</v>
      </c>
      <c r="R25" s="20">
        <f>R31+R32+R34-R18-R19-R21</f>
        <v>9</v>
      </c>
      <c r="S25" s="20">
        <v>10</v>
      </c>
      <c r="T25" s="20">
        <v>6</v>
      </c>
      <c r="U25" s="20">
        <v>9</v>
      </c>
      <c r="V25" s="20">
        <v>4</v>
      </c>
      <c r="W25" s="20">
        <v>5</v>
      </c>
      <c r="X25" s="20">
        <v>5</v>
      </c>
      <c r="Y25" s="20">
        <v>10</v>
      </c>
      <c r="Z25" s="20">
        <v>7</v>
      </c>
      <c r="AA25" s="20">
        <v>10</v>
      </c>
      <c r="AB25" s="20">
        <v>13</v>
      </c>
      <c r="AC25" s="20">
        <v>9</v>
      </c>
      <c r="AD25" s="20">
        <v>7</v>
      </c>
      <c r="AE25" s="20">
        <v>7</v>
      </c>
      <c r="AF25" s="20">
        <v>14</v>
      </c>
      <c r="AG25" s="48">
        <v>8</v>
      </c>
    </row>
    <row r="26" spans="1:33" s="18" customFormat="1" ht="14.1" customHeight="1">
      <c r="B26" s="52" t="s">
        <v>5</v>
      </c>
      <c r="C26" s="52"/>
      <c r="D26" s="52"/>
      <c r="E26" s="19">
        <f>9+3+7</f>
        <v>19</v>
      </c>
      <c r="F26" s="19">
        <f>9+1+5</f>
        <v>15</v>
      </c>
      <c r="G26" s="19">
        <f>8+1+3</f>
        <v>12</v>
      </c>
      <c r="H26" s="19">
        <f>10+3+2</f>
        <v>15</v>
      </c>
      <c r="I26" s="20">
        <v>17</v>
      </c>
      <c r="J26" s="20">
        <f>11+2</f>
        <v>13</v>
      </c>
      <c r="K26" s="20">
        <f>11+0+3</f>
        <v>14</v>
      </c>
      <c r="L26" s="20">
        <v>14</v>
      </c>
      <c r="M26" s="20">
        <v>14</v>
      </c>
      <c r="N26" s="20">
        <f>11+2+4</f>
        <v>17</v>
      </c>
      <c r="O26" s="20">
        <v>23</v>
      </c>
      <c r="P26" s="20">
        <v>18</v>
      </c>
      <c r="Q26" s="20">
        <f>Q35-Q22</f>
        <v>12</v>
      </c>
      <c r="R26" s="20">
        <f>R35-R22</f>
        <v>11</v>
      </c>
      <c r="S26" s="20">
        <v>8</v>
      </c>
      <c r="T26" s="20">
        <v>7</v>
      </c>
      <c r="U26" s="20">
        <v>10</v>
      </c>
      <c r="V26" s="20">
        <v>7</v>
      </c>
      <c r="W26" s="20">
        <v>7</v>
      </c>
      <c r="X26" s="20">
        <v>9</v>
      </c>
      <c r="Y26" s="20">
        <v>9</v>
      </c>
      <c r="Z26" s="20">
        <v>9</v>
      </c>
      <c r="AA26" s="20">
        <v>9</v>
      </c>
      <c r="AB26" s="20">
        <v>10</v>
      </c>
      <c r="AC26" s="20">
        <v>13</v>
      </c>
      <c r="AD26" s="20">
        <v>21</v>
      </c>
      <c r="AE26" s="20">
        <v>20</v>
      </c>
      <c r="AF26" s="20">
        <v>29</v>
      </c>
      <c r="AG26" s="48">
        <v>28</v>
      </c>
    </row>
    <row r="27" spans="1:33" s="18" customFormat="1" ht="14.1" customHeight="1">
      <c r="B27" s="52" t="s">
        <v>6</v>
      </c>
      <c r="C27" s="52"/>
      <c r="D27" s="52"/>
      <c r="E27" s="34">
        <f>58+70+5</f>
        <v>133</v>
      </c>
      <c r="F27" s="34">
        <f>64+46+4</f>
        <v>114</v>
      </c>
      <c r="G27" s="34">
        <f>57+44+4</f>
        <v>105</v>
      </c>
      <c r="H27" s="34">
        <f>52+47+3</f>
        <v>102</v>
      </c>
      <c r="I27" s="35">
        <v>101</v>
      </c>
      <c r="J27" s="35">
        <f>42+71+10</f>
        <v>123</v>
      </c>
      <c r="K27" s="35">
        <f>39+64+4</f>
        <v>107</v>
      </c>
      <c r="L27" s="35">
        <f>42+78+2</f>
        <v>122</v>
      </c>
      <c r="M27" s="35">
        <f>37+91+2</f>
        <v>130</v>
      </c>
      <c r="N27" s="35">
        <f>38+87+2</f>
        <v>127</v>
      </c>
      <c r="O27" s="35">
        <v>129</v>
      </c>
      <c r="P27" s="35">
        <f>43+85+1</f>
        <v>129</v>
      </c>
      <c r="Q27" s="35">
        <f>Q36-Q23</f>
        <v>35</v>
      </c>
      <c r="R27" s="35">
        <f>R36-R23</f>
        <v>33</v>
      </c>
      <c r="S27" s="35">
        <v>27</v>
      </c>
      <c r="T27" s="35">
        <v>27</v>
      </c>
      <c r="U27" s="35">
        <v>27</v>
      </c>
      <c r="V27" s="35">
        <v>25</v>
      </c>
      <c r="W27" s="35">
        <v>26</v>
      </c>
      <c r="X27" s="35">
        <v>24</v>
      </c>
      <c r="Y27" s="35">
        <v>40</v>
      </c>
      <c r="Z27" s="35">
        <v>47</v>
      </c>
      <c r="AA27" s="35">
        <v>46</v>
      </c>
      <c r="AB27" s="35">
        <v>48</v>
      </c>
      <c r="AC27" s="35">
        <v>51</v>
      </c>
      <c r="AD27" s="35">
        <v>47</v>
      </c>
      <c r="AE27" s="35">
        <v>47</v>
      </c>
      <c r="AF27" s="35">
        <v>69</v>
      </c>
      <c r="AG27" s="60">
        <v>74</v>
      </c>
    </row>
    <row r="28" spans="1:33" s="36" customFormat="1" ht="14.1" customHeight="1">
      <c r="B28" s="52" t="s">
        <v>7</v>
      </c>
      <c r="C28" s="52"/>
      <c r="D28" s="52"/>
      <c r="E28" s="34">
        <f>107+157+1+2</f>
        <v>267</v>
      </c>
      <c r="F28" s="34">
        <f>98+97+0-3</f>
        <v>192</v>
      </c>
      <c r="G28" s="34">
        <f>81+98+1</f>
        <v>180</v>
      </c>
      <c r="H28" s="34">
        <f>72+106+0</f>
        <v>178</v>
      </c>
      <c r="I28" s="35">
        <f>59+114+1</f>
        <v>174</v>
      </c>
      <c r="J28" s="35">
        <f>51+129</f>
        <v>180</v>
      </c>
      <c r="K28" s="35">
        <f>49+153+2</f>
        <v>204</v>
      </c>
      <c r="L28" s="35">
        <f>49+127</f>
        <v>176</v>
      </c>
      <c r="M28" s="35">
        <f>53+147</f>
        <v>200</v>
      </c>
      <c r="N28" s="35">
        <f>54+146</f>
        <v>200</v>
      </c>
      <c r="O28" s="35">
        <v>189</v>
      </c>
      <c r="P28" s="35">
        <f>50+148</f>
        <v>198</v>
      </c>
      <c r="Q28" s="35">
        <f>Q37-Q20</f>
        <v>44</v>
      </c>
      <c r="R28" s="35">
        <f>R37-R20</f>
        <v>40</v>
      </c>
      <c r="S28" s="35">
        <v>39</v>
      </c>
      <c r="T28" s="35">
        <v>41</v>
      </c>
      <c r="U28" s="35">
        <v>38</v>
      </c>
      <c r="V28" s="35">
        <v>37</v>
      </c>
      <c r="W28" s="35">
        <v>42</v>
      </c>
      <c r="X28" s="35">
        <v>40</v>
      </c>
      <c r="Y28" s="35">
        <v>39</v>
      </c>
      <c r="Z28" s="35">
        <v>37</v>
      </c>
      <c r="AA28" s="35">
        <v>38</v>
      </c>
      <c r="AB28" s="35">
        <v>39</v>
      </c>
      <c r="AC28" s="35">
        <v>34</v>
      </c>
      <c r="AD28" s="35">
        <v>34</v>
      </c>
      <c r="AE28" s="35">
        <v>25</v>
      </c>
      <c r="AF28" s="35">
        <v>0</v>
      </c>
      <c r="AG28" s="60">
        <v>0</v>
      </c>
    </row>
    <row r="29" spans="1:33" s="36" customFormat="1" ht="14.1" customHeight="1">
      <c r="A29" s="37"/>
      <c r="B29" s="52" t="s">
        <v>9</v>
      </c>
      <c r="C29" s="52"/>
      <c r="D29" s="52"/>
      <c r="E29" s="38"/>
      <c r="F29" s="38"/>
      <c r="G29" s="38"/>
      <c r="H29" s="38"/>
      <c r="I29" s="39"/>
      <c r="J29" s="39"/>
      <c r="K29" s="39"/>
      <c r="L29" s="39"/>
      <c r="M29" s="39"/>
      <c r="N29" s="39"/>
      <c r="O29" s="39"/>
      <c r="P29" s="39"/>
      <c r="Q29" s="39">
        <f>Q38</f>
        <v>264</v>
      </c>
      <c r="R29" s="39">
        <f>R38</f>
        <v>289</v>
      </c>
      <c r="S29" s="39">
        <f>S38</f>
        <v>284</v>
      </c>
      <c r="T29" s="39">
        <v>295</v>
      </c>
      <c r="U29" s="39">
        <v>312</v>
      </c>
      <c r="V29" s="39">
        <v>311</v>
      </c>
      <c r="W29" s="39">
        <v>329</v>
      </c>
      <c r="X29" s="39">
        <v>322</v>
      </c>
      <c r="Y29" s="39">
        <v>334</v>
      </c>
      <c r="Z29" s="39">
        <v>373</v>
      </c>
      <c r="AA29" s="39">
        <v>411</v>
      </c>
      <c r="AB29" s="39">
        <v>453</v>
      </c>
      <c r="AC29" s="39">
        <v>467</v>
      </c>
      <c r="AD29" s="39">
        <v>475</v>
      </c>
      <c r="AE29" s="39">
        <v>497</v>
      </c>
      <c r="AF29" s="39">
        <v>492</v>
      </c>
      <c r="AG29" s="61">
        <v>468</v>
      </c>
    </row>
    <row r="30" spans="1:33" s="17" customFormat="1" ht="15" customHeight="1">
      <c r="A30" s="49" t="s">
        <v>24</v>
      </c>
      <c r="B30" s="49"/>
      <c r="C30" s="49"/>
      <c r="D30" s="49"/>
      <c r="E30" s="23">
        <f t="shared" ref="E30:P30" si="27">SUM(E31:E37)</f>
        <v>1903</v>
      </c>
      <c r="F30" s="23">
        <f t="shared" si="27"/>
        <v>1785</v>
      </c>
      <c r="G30" s="23">
        <f t="shared" si="27"/>
        <v>1759</v>
      </c>
      <c r="H30" s="23">
        <f t="shared" si="27"/>
        <v>1762</v>
      </c>
      <c r="I30" s="23">
        <f t="shared" si="27"/>
        <v>1759</v>
      </c>
      <c r="J30" s="23">
        <f t="shared" si="27"/>
        <v>1781</v>
      </c>
      <c r="K30" s="23">
        <f t="shared" si="27"/>
        <v>1786</v>
      </c>
      <c r="L30" s="23">
        <f t="shared" si="27"/>
        <v>1749</v>
      </c>
      <c r="M30" s="23">
        <f t="shared" si="27"/>
        <v>1797</v>
      </c>
      <c r="N30" s="23">
        <f t="shared" si="27"/>
        <v>1781</v>
      </c>
      <c r="O30" s="15">
        <f t="shared" si="27"/>
        <v>1779</v>
      </c>
      <c r="P30" s="15">
        <f t="shared" si="27"/>
        <v>1757</v>
      </c>
      <c r="Q30" s="15">
        <f t="shared" ref="Q30:AB30" si="28">SUM(Q31:Q38)</f>
        <v>1720</v>
      </c>
      <c r="R30" s="15">
        <f t="shared" si="28"/>
        <v>1751</v>
      </c>
      <c r="S30" s="15">
        <f t="shared" si="28"/>
        <v>1707</v>
      </c>
      <c r="T30" s="15">
        <f t="shared" si="28"/>
        <v>1734</v>
      </c>
      <c r="U30" s="15">
        <f t="shared" si="28"/>
        <v>1709</v>
      </c>
      <c r="V30" s="15">
        <f t="shared" si="28"/>
        <v>1676</v>
      </c>
      <c r="W30" s="15">
        <f t="shared" si="28"/>
        <v>1723</v>
      </c>
      <c r="X30" s="15">
        <f t="shared" si="28"/>
        <v>1746</v>
      </c>
      <c r="Y30" s="15">
        <f t="shared" si="28"/>
        <v>1740</v>
      </c>
      <c r="Z30" s="15">
        <f t="shared" si="28"/>
        <v>1766</v>
      </c>
      <c r="AA30" s="15">
        <f t="shared" si="28"/>
        <v>1845</v>
      </c>
      <c r="AB30" s="15">
        <f t="shared" si="28"/>
        <v>1869</v>
      </c>
      <c r="AC30" s="15">
        <f t="shared" ref="AC30" si="29">SUM(AC31:AC38)</f>
        <v>1892</v>
      </c>
      <c r="AD30" s="15">
        <f t="shared" ref="AD30:AE30" si="30">SUM(AD31:AD38)</f>
        <v>1973</v>
      </c>
      <c r="AE30" s="15">
        <f t="shared" si="30"/>
        <v>1969</v>
      </c>
      <c r="AF30" s="15">
        <f>SUM(AF31:AF38)</f>
        <v>1966</v>
      </c>
      <c r="AG30" s="15">
        <f>AG24+AG17</f>
        <v>1933</v>
      </c>
    </row>
    <row r="31" spans="1:33" s="25" customFormat="1" ht="14.1" customHeight="1">
      <c r="B31" s="51" t="s">
        <v>2</v>
      </c>
      <c r="C31" s="51"/>
      <c r="D31" s="51"/>
      <c r="E31" s="26">
        <f t="shared" ref="E31:P31" si="31">SUM(E6)</f>
        <v>48</v>
      </c>
      <c r="F31" s="26">
        <f t="shared" si="31"/>
        <v>51</v>
      </c>
      <c r="G31" s="26">
        <f t="shared" si="31"/>
        <v>50</v>
      </c>
      <c r="H31" s="26">
        <f t="shared" si="31"/>
        <v>52</v>
      </c>
      <c r="I31" s="27">
        <f t="shared" si="31"/>
        <v>54</v>
      </c>
      <c r="J31" s="27">
        <f t="shared" si="31"/>
        <v>53</v>
      </c>
      <c r="K31" s="27">
        <f t="shared" si="31"/>
        <v>58</v>
      </c>
      <c r="L31" s="27">
        <f t="shared" si="31"/>
        <v>58</v>
      </c>
      <c r="M31" s="27">
        <f t="shared" si="31"/>
        <v>53</v>
      </c>
      <c r="N31" s="27">
        <f t="shared" si="31"/>
        <v>51</v>
      </c>
      <c r="O31" s="27">
        <f t="shared" si="31"/>
        <v>49</v>
      </c>
      <c r="P31" s="27">
        <f t="shared" si="31"/>
        <v>47</v>
      </c>
      <c r="Q31" s="27">
        <v>43</v>
      </c>
      <c r="R31" s="27">
        <v>42</v>
      </c>
      <c r="S31" s="27">
        <f t="shared" ref="S31:AB31" si="32">SUM(S6)</f>
        <v>41</v>
      </c>
      <c r="T31" s="27">
        <f t="shared" si="32"/>
        <v>38</v>
      </c>
      <c r="U31" s="27">
        <f t="shared" si="32"/>
        <v>39</v>
      </c>
      <c r="V31" s="27">
        <f t="shared" si="32"/>
        <v>39</v>
      </c>
      <c r="W31" s="28">
        <f t="shared" si="32"/>
        <v>38</v>
      </c>
      <c r="X31" s="28">
        <f t="shared" si="32"/>
        <v>39</v>
      </c>
      <c r="Y31" s="28">
        <f t="shared" si="32"/>
        <v>41</v>
      </c>
      <c r="Z31" s="28">
        <f t="shared" si="32"/>
        <v>40</v>
      </c>
      <c r="AA31" s="28">
        <f t="shared" si="32"/>
        <v>41</v>
      </c>
      <c r="AB31" s="28">
        <f t="shared" si="32"/>
        <v>41</v>
      </c>
      <c r="AC31" s="28">
        <f t="shared" ref="AC31:AE31" si="33">SUM(AC6)</f>
        <v>42</v>
      </c>
      <c r="AD31" s="28">
        <f t="shared" si="33"/>
        <v>44</v>
      </c>
      <c r="AE31" s="28">
        <f t="shared" si="33"/>
        <v>44</v>
      </c>
      <c r="AF31" s="28">
        <f>SUM(AF6)</f>
        <v>48</v>
      </c>
      <c r="AG31" s="28">
        <f>AG18</f>
        <v>47</v>
      </c>
    </row>
    <row r="32" spans="1:33" s="25" customFormat="1" ht="14.1" customHeight="1">
      <c r="B32" s="51" t="s">
        <v>3</v>
      </c>
      <c r="C32" s="51"/>
      <c r="D32" s="51"/>
      <c r="E32" s="26"/>
      <c r="F32" s="26"/>
      <c r="G32" s="26">
        <f t="shared" ref="G32:P32" si="34">G7</f>
        <v>0</v>
      </c>
      <c r="H32" s="26">
        <f t="shared" si="34"/>
        <v>9</v>
      </c>
      <c r="I32" s="26">
        <f t="shared" si="34"/>
        <v>14</v>
      </c>
      <c r="J32" s="26">
        <f t="shared" si="34"/>
        <v>15</v>
      </c>
      <c r="K32" s="26">
        <f t="shared" si="34"/>
        <v>23</v>
      </c>
      <c r="L32" s="26">
        <f t="shared" si="34"/>
        <v>27</v>
      </c>
      <c r="M32" s="26">
        <f t="shared" si="34"/>
        <v>29</v>
      </c>
      <c r="N32" s="26">
        <f t="shared" si="34"/>
        <v>37</v>
      </c>
      <c r="O32" s="27">
        <f t="shared" si="34"/>
        <v>33</v>
      </c>
      <c r="P32" s="27">
        <f t="shared" si="34"/>
        <v>36</v>
      </c>
      <c r="Q32" s="27">
        <v>35</v>
      </c>
      <c r="R32" s="27">
        <v>37</v>
      </c>
      <c r="S32" s="27">
        <f t="shared" ref="S32:AB32" si="35">S7</f>
        <v>35</v>
      </c>
      <c r="T32" s="27">
        <f t="shared" si="35"/>
        <v>38</v>
      </c>
      <c r="U32" s="27">
        <f t="shared" si="35"/>
        <v>40</v>
      </c>
      <c r="V32" s="27">
        <f t="shared" si="35"/>
        <v>38</v>
      </c>
      <c r="W32" s="28">
        <f t="shared" si="35"/>
        <v>39</v>
      </c>
      <c r="X32" s="28">
        <f t="shared" si="35"/>
        <v>40</v>
      </c>
      <c r="Y32" s="28">
        <f t="shared" si="35"/>
        <v>41</v>
      </c>
      <c r="Z32" s="28">
        <f t="shared" si="35"/>
        <v>40</v>
      </c>
      <c r="AA32" s="28">
        <f t="shared" si="35"/>
        <v>40</v>
      </c>
      <c r="AB32" s="28">
        <f t="shared" si="35"/>
        <v>39</v>
      </c>
      <c r="AC32" s="28">
        <f t="shared" ref="AC32:AE32" si="36">AC7</f>
        <v>37</v>
      </c>
      <c r="AD32" s="28">
        <f t="shared" si="36"/>
        <v>37</v>
      </c>
      <c r="AE32" s="28">
        <f t="shared" si="36"/>
        <v>37</v>
      </c>
      <c r="AF32" s="28">
        <f>AF7</f>
        <v>35</v>
      </c>
      <c r="AG32" s="28">
        <f>AG19</f>
        <v>31</v>
      </c>
    </row>
    <row r="33" spans="1:33" s="25" customFormat="1" ht="14.1" customHeight="1">
      <c r="B33" s="51" t="s">
        <v>10</v>
      </c>
      <c r="C33" s="51"/>
      <c r="D33" s="5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27"/>
      <c r="R33" s="27"/>
      <c r="S33" s="27">
        <v>0</v>
      </c>
      <c r="T33" s="27">
        <v>0</v>
      </c>
      <c r="U33" s="27">
        <v>0</v>
      </c>
      <c r="V33" s="27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3</v>
      </c>
      <c r="AC33" s="28">
        <f>AC8</f>
        <v>6</v>
      </c>
      <c r="AD33" s="28">
        <f>AD8</f>
        <v>9</v>
      </c>
      <c r="AE33" s="28">
        <f>AE8</f>
        <v>10</v>
      </c>
      <c r="AF33" s="28">
        <f>AF8</f>
        <v>11</v>
      </c>
      <c r="AG33" s="28">
        <f>AG20</f>
        <v>11</v>
      </c>
    </row>
    <row r="34" spans="1:33" s="25" customFormat="1" ht="14.1" customHeight="1">
      <c r="B34" s="51" t="s">
        <v>4</v>
      </c>
      <c r="C34" s="51"/>
      <c r="D34" s="51"/>
      <c r="E34" s="26">
        <f t="shared" ref="E34:P34" si="37">SUM(E9+E13+E25)</f>
        <v>672</v>
      </c>
      <c r="F34" s="26">
        <f t="shared" si="37"/>
        <v>655</v>
      </c>
      <c r="G34" s="26">
        <f t="shared" si="37"/>
        <v>648</v>
      </c>
      <c r="H34" s="26">
        <f t="shared" si="37"/>
        <v>628</v>
      </c>
      <c r="I34" s="27">
        <f t="shared" si="37"/>
        <v>625</v>
      </c>
      <c r="J34" s="27">
        <f t="shared" si="37"/>
        <v>627</v>
      </c>
      <c r="K34" s="27">
        <f t="shared" si="37"/>
        <v>610</v>
      </c>
      <c r="L34" s="27">
        <f t="shared" si="37"/>
        <v>595</v>
      </c>
      <c r="M34" s="27">
        <f t="shared" si="37"/>
        <v>594</v>
      </c>
      <c r="N34" s="27">
        <f t="shared" si="37"/>
        <v>561</v>
      </c>
      <c r="O34" s="27">
        <f t="shared" si="37"/>
        <v>558</v>
      </c>
      <c r="P34" s="27">
        <f t="shared" si="37"/>
        <v>542</v>
      </c>
      <c r="Q34" s="27">
        <f>553-35</f>
        <v>518</v>
      </c>
      <c r="R34" s="27">
        <f>545-37</f>
        <v>508</v>
      </c>
      <c r="S34" s="27">
        <f t="shared" ref="S34:AB34" si="38">SUM(S9+S13+S25)</f>
        <v>487</v>
      </c>
      <c r="T34" s="27">
        <f t="shared" si="38"/>
        <v>498</v>
      </c>
      <c r="U34" s="27">
        <f t="shared" si="38"/>
        <v>493</v>
      </c>
      <c r="V34" s="27">
        <f t="shared" si="38"/>
        <v>496</v>
      </c>
      <c r="W34" s="28">
        <f t="shared" si="38"/>
        <v>504</v>
      </c>
      <c r="X34" s="28">
        <f t="shared" si="38"/>
        <v>510</v>
      </c>
      <c r="Y34" s="28">
        <f t="shared" si="38"/>
        <v>510</v>
      </c>
      <c r="Z34" s="28">
        <f t="shared" si="38"/>
        <v>510</v>
      </c>
      <c r="AA34" s="28">
        <f t="shared" si="38"/>
        <v>528</v>
      </c>
      <c r="AB34" s="28">
        <f t="shared" si="38"/>
        <v>515</v>
      </c>
      <c r="AC34" s="28">
        <f t="shared" ref="AC34:AE34" si="39">SUM(AC9+AC13+AC25)</f>
        <v>495</v>
      </c>
      <c r="AD34" s="28">
        <f t="shared" si="39"/>
        <v>501</v>
      </c>
      <c r="AE34" s="28">
        <f t="shared" si="39"/>
        <v>501</v>
      </c>
      <c r="AF34" s="28">
        <f>SUM(AF9+AF13+AF25)</f>
        <v>494</v>
      </c>
      <c r="AG34" s="28">
        <f>AG21+AG25</f>
        <v>493</v>
      </c>
    </row>
    <row r="35" spans="1:33" s="25" customFormat="1" ht="14.1" customHeight="1">
      <c r="B35" s="51" t="s">
        <v>5</v>
      </c>
      <c r="C35" s="51"/>
      <c r="D35" s="51"/>
      <c r="E35" s="26">
        <f t="shared" ref="E35:P35" si="40">SUM(E10+E14+E26)</f>
        <v>447</v>
      </c>
      <c r="F35" s="26">
        <f t="shared" si="40"/>
        <v>444</v>
      </c>
      <c r="G35" s="26">
        <f t="shared" si="40"/>
        <v>454</v>
      </c>
      <c r="H35" s="26">
        <f t="shared" si="40"/>
        <v>476</v>
      </c>
      <c r="I35" s="27">
        <f t="shared" si="40"/>
        <v>480</v>
      </c>
      <c r="J35" s="27">
        <f t="shared" si="40"/>
        <v>493</v>
      </c>
      <c r="K35" s="27">
        <f t="shared" si="40"/>
        <v>486</v>
      </c>
      <c r="L35" s="27">
        <f t="shared" si="40"/>
        <v>477</v>
      </c>
      <c r="M35" s="27">
        <f t="shared" si="40"/>
        <v>494</v>
      </c>
      <c r="N35" s="27">
        <f t="shared" si="40"/>
        <v>486</v>
      </c>
      <c r="O35" s="27">
        <f t="shared" si="40"/>
        <v>468</v>
      </c>
      <c r="P35" s="27">
        <f t="shared" si="40"/>
        <v>462</v>
      </c>
      <c r="Q35" s="27">
        <v>448</v>
      </c>
      <c r="R35" s="27">
        <v>451</v>
      </c>
      <c r="S35" s="27">
        <f t="shared" ref="S35:AB35" si="41">SUM(S10+S14+S26)</f>
        <v>442</v>
      </c>
      <c r="T35" s="27">
        <f t="shared" si="41"/>
        <v>442</v>
      </c>
      <c r="U35" s="27">
        <f t="shared" si="41"/>
        <v>432</v>
      </c>
      <c r="V35" s="27">
        <f t="shared" si="41"/>
        <v>427</v>
      </c>
      <c r="W35" s="28">
        <f t="shared" si="41"/>
        <v>422</v>
      </c>
      <c r="X35" s="28">
        <f t="shared" si="41"/>
        <v>444</v>
      </c>
      <c r="Y35" s="28">
        <f t="shared" si="41"/>
        <v>435</v>
      </c>
      <c r="Z35" s="28">
        <f t="shared" si="41"/>
        <v>431</v>
      </c>
      <c r="AA35" s="28">
        <f t="shared" si="41"/>
        <v>439</v>
      </c>
      <c r="AB35" s="28">
        <f t="shared" si="41"/>
        <v>440</v>
      </c>
      <c r="AC35" s="28">
        <f t="shared" ref="AC35:AE35" si="42">SUM(AC10+AC14+AC26)</f>
        <v>446</v>
      </c>
      <c r="AD35" s="28">
        <f t="shared" si="42"/>
        <v>459</v>
      </c>
      <c r="AE35" s="28">
        <f t="shared" si="42"/>
        <v>439</v>
      </c>
      <c r="AF35" s="28">
        <f>SUM(AF10+AF14+AF26)</f>
        <v>443</v>
      </c>
      <c r="AG35" s="28">
        <f>AG22+AG26</f>
        <v>449</v>
      </c>
    </row>
    <row r="36" spans="1:33" s="25" customFormat="1" ht="14.1" customHeight="1">
      <c r="B36" s="51" t="s">
        <v>6</v>
      </c>
      <c r="C36" s="51"/>
      <c r="D36" s="51"/>
      <c r="E36" s="26">
        <f t="shared" ref="E36:P36" si="43">SUM(E11+E15+E27)</f>
        <v>459</v>
      </c>
      <c r="F36" s="26">
        <f t="shared" si="43"/>
        <v>437</v>
      </c>
      <c r="G36" s="26">
        <f t="shared" si="43"/>
        <v>421</v>
      </c>
      <c r="H36" s="26">
        <f t="shared" si="43"/>
        <v>413</v>
      </c>
      <c r="I36" s="27">
        <f t="shared" si="43"/>
        <v>406</v>
      </c>
      <c r="J36" s="27">
        <f t="shared" si="43"/>
        <v>410</v>
      </c>
      <c r="K36" s="27">
        <f t="shared" si="43"/>
        <v>402</v>
      </c>
      <c r="L36" s="27">
        <f t="shared" si="43"/>
        <v>414</v>
      </c>
      <c r="M36" s="27">
        <f t="shared" si="43"/>
        <v>423</v>
      </c>
      <c r="N36" s="27">
        <f t="shared" si="43"/>
        <v>445</v>
      </c>
      <c r="O36" s="27">
        <f t="shared" si="43"/>
        <v>481</v>
      </c>
      <c r="P36" s="27">
        <f t="shared" si="43"/>
        <v>469</v>
      </c>
      <c r="Q36" s="27">
        <v>366</v>
      </c>
      <c r="R36" s="27">
        <v>383</v>
      </c>
      <c r="S36" s="27">
        <f t="shared" ref="S36:AB36" si="44">SUM(S11+S15+S27)</f>
        <v>379</v>
      </c>
      <c r="T36" s="27">
        <f t="shared" si="44"/>
        <v>382</v>
      </c>
      <c r="U36" s="27">
        <f t="shared" si="44"/>
        <v>355</v>
      </c>
      <c r="V36" s="27">
        <f t="shared" si="44"/>
        <v>328</v>
      </c>
      <c r="W36" s="28">
        <f t="shared" si="44"/>
        <v>349</v>
      </c>
      <c r="X36" s="28">
        <f t="shared" si="44"/>
        <v>351</v>
      </c>
      <c r="Y36" s="28">
        <f t="shared" si="44"/>
        <v>340</v>
      </c>
      <c r="Z36" s="28">
        <f t="shared" si="44"/>
        <v>335</v>
      </c>
      <c r="AA36" s="28">
        <f t="shared" si="44"/>
        <v>348</v>
      </c>
      <c r="AB36" s="28">
        <f t="shared" si="44"/>
        <v>339</v>
      </c>
      <c r="AC36" s="28">
        <f t="shared" ref="AC36:AE36" si="45">SUM(AC11+AC15+AC27)</f>
        <v>365</v>
      </c>
      <c r="AD36" s="28">
        <f t="shared" si="45"/>
        <v>414</v>
      </c>
      <c r="AE36" s="28">
        <f t="shared" si="45"/>
        <v>416</v>
      </c>
      <c r="AF36" s="28">
        <f>SUM(AF11+AF15+AF27)</f>
        <v>443</v>
      </c>
      <c r="AG36" s="28">
        <f>AG23+AG27</f>
        <v>434</v>
      </c>
    </row>
    <row r="37" spans="1:33" s="25" customFormat="1" ht="14.1" customHeight="1">
      <c r="B37" s="51" t="s">
        <v>7</v>
      </c>
      <c r="C37" s="51"/>
      <c r="D37" s="51"/>
      <c r="E37" s="26">
        <f t="shared" ref="E37:P37" si="46">SUM(E8+E16+E28)</f>
        <v>277</v>
      </c>
      <c r="F37" s="26">
        <f t="shared" si="46"/>
        <v>198</v>
      </c>
      <c r="G37" s="26">
        <f t="shared" si="46"/>
        <v>186</v>
      </c>
      <c r="H37" s="26">
        <f t="shared" si="46"/>
        <v>184</v>
      </c>
      <c r="I37" s="27">
        <f t="shared" si="46"/>
        <v>180</v>
      </c>
      <c r="J37" s="27">
        <f t="shared" si="46"/>
        <v>183</v>
      </c>
      <c r="K37" s="27">
        <f t="shared" si="46"/>
        <v>207</v>
      </c>
      <c r="L37" s="27">
        <f t="shared" si="46"/>
        <v>178</v>
      </c>
      <c r="M37" s="27">
        <f t="shared" si="46"/>
        <v>204</v>
      </c>
      <c r="N37" s="27">
        <f t="shared" si="46"/>
        <v>201</v>
      </c>
      <c r="O37" s="27">
        <f t="shared" si="46"/>
        <v>190</v>
      </c>
      <c r="P37" s="27">
        <f t="shared" si="46"/>
        <v>201</v>
      </c>
      <c r="Q37" s="27">
        <v>46</v>
      </c>
      <c r="R37" s="27">
        <f>40+1</f>
        <v>41</v>
      </c>
      <c r="S37" s="29">
        <v>39</v>
      </c>
      <c r="T37" s="27">
        <v>41</v>
      </c>
      <c r="U37" s="27">
        <v>38</v>
      </c>
      <c r="V37" s="27">
        <f>V28+V20+V16+V8</f>
        <v>37</v>
      </c>
      <c r="W37" s="28">
        <f>W28+W16+W8</f>
        <v>42</v>
      </c>
      <c r="X37" s="28">
        <f>X28+X16+X8</f>
        <v>40</v>
      </c>
      <c r="Y37" s="28">
        <f>Y28+Y16+Y8</f>
        <v>39</v>
      </c>
      <c r="Z37" s="28">
        <f>Z28+Z16+Z8</f>
        <v>37</v>
      </c>
      <c r="AA37" s="28">
        <f>AA28+AA16+AA8</f>
        <v>38</v>
      </c>
      <c r="AB37" s="28">
        <f t="shared" ref="AB37:AC38" si="47">AB28</f>
        <v>39</v>
      </c>
      <c r="AC37" s="28">
        <f t="shared" si="47"/>
        <v>34</v>
      </c>
      <c r="AD37" s="28">
        <f t="shared" ref="AD37:AE37" si="48">AD28</f>
        <v>34</v>
      </c>
      <c r="AE37" s="28">
        <f t="shared" si="48"/>
        <v>25</v>
      </c>
      <c r="AF37" s="28">
        <f>AF28</f>
        <v>0</v>
      </c>
      <c r="AG37" s="28">
        <f>AG28</f>
        <v>0</v>
      </c>
    </row>
    <row r="38" spans="1:33" s="25" customFormat="1" ht="14.1" customHeight="1">
      <c r="B38" s="51" t="s">
        <v>9</v>
      </c>
      <c r="C38" s="51"/>
      <c r="D38" s="51"/>
      <c r="E38" s="26"/>
      <c r="F38" s="26"/>
      <c r="G38" s="26"/>
      <c r="H38" s="26"/>
      <c r="I38" s="27"/>
      <c r="J38" s="27"/>
      <c r="K38" s="27"/>
      <c r="L38" s="27"/>
      <c r="M38" s="27"/>
      <c r="N38" s="27"/>
      <c r="O38" s="27"/>
      <c r="P38" s="27"/>
      <c r="Q38" s="27">
        <v>264</v>
      </c>
      <c r="R38" s="27">
        <f>275+12+2</f>
        <v>289</v>
      </c>
      <c r="S38" s="27">
        <f>253+19+10+2</f>
        <v>284</v>
      </c>
      <c r="T38" s="27">
        <v>295</v>
      </c>
      <c r="U38" s="27">
        <v>312</v>
      </c>
      <c r="V38" s="27">
        <f t="shared" ref="V38:AA38" si="49">V29</f>
        <v>311</v>
      </c>
      <c r="W38" s="28">
        <f t="shared" si="49"/>
        <v>329</v>
      </c>
      <c r="X38" s="28">
        <f t="shared" si="49"/>
        <v>322</v>
      </c>
      <c r="Y38" s="28">
        <f t="shared" si="49"/>
        <v>334</v>
      </c>
      <c r="Z38" s="28">
        <f t="shared" si="49"/>
        <v>373</v>
      </c>
      <c r="AA38" s="28">
        <f t="shared" si="49"/>
        <v>411</v>
      </c>
      <c r="AB38" s="28">
        <f t="shared" si="47"/>
        <v>453</v>
      </c>
      <c r="AC38" s="28">
        <f t="shared" si="47"/>
        <v>467</v>
      </c>
      <c r="AD38" s="28">
        <f t="shared" ref="AD38:AE38" si="50">AD29</f>
        <v>475</v>
      </c>
      <c r="AE38" s="28">
        <f t="shared" si="50"/>
        <v>497</v>
      </c>
      <c r="AF38" s="28">
        <f>AF29</f>
        <v>492</v>
      </c>
      <c r="AG38" s="28">
        <f>AG29</f>
        <v>468</v>
      </c>
    </row>
    <row r="39" spans="1:33" ht="14.1" customHeight="1"/>
    <row r="40" spans="1:33" s="43" customFormat="1" ht="12" customHeight="1">
      <c r="A40" s="40">
        <v>1</v>
      </c>
      <c r="B40" s="53" t="s">
        <v>29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41"/>
    </row>
    <row r="41" spans="1:33" s="43" customFormat="1" ht="13.5" customHeight="1">
      <c r="A41" s="40"/>
      <c r="B41" s="47" t="s">
        <v>32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1"/>
    </row>
    <row r="42" spans="1:33" s="43" customFormat="1" ht="12" customHeight="1">
      <c r="A42" s="40">
        <v>2</v>
      </c>
      <c r="B42" s="53" t="s">
        <v>30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41"/>
    </row>
    <row r="43" spans="1:33" s="43" customFormat="1" ht="16.5" customHeight="1">
      <c r="A43" s="40"/>
      <c r="B43" s="47" t="s">
        <v>33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1"/>
    </row>
    <row r="44" spans="1:33" s="43" customFormat="1" ht="12" customHeight="1">
      <c r="A44" s="42">
        <v>3</v>
      </c>
      <c r="B44" s="53" t="s">
        <v>31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41"/>
    </row>
    <row r="45" spans="1:33" s="43" customFormat="1" ht="39.75" customHeight="1">
      <c r="A45" s="42"/>
      <c r="B45" s="47" t="s">
        <v>34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1"/>
    </row>
    <row r="46" spans="1:33" ht="15" customHeight="1"/>
    <row r="47" spans="1:33" ht="15" customHeight="1"/>
    <row r="48" spans="1:33" ht="15" customHeight="1"/>
    <row r="49" spans="1:33" ht="15" customHeight="1"/>
    <row r="50" spans="1:33" ht="15" customHeight="1"/>
    <row r="51" spans="1:33" ht="15" customHeight="1"/>
    <row r="52" spans="1:33" ht="15" customHeight="1"/>
    <row r="53" spans="1:33" ht="15" customHeight="1"/>
    <row r="54" spans="1:33" ht="15" customHeight="1"/>
    <row r="55" spans="1:33" ht="15" customHeight="1"/>
    <row r="56" spans="1:33" ht="15" customHeight="1"/>
    <row r="57" spans="1:33" ht="15" customHeight="1"/>
    <row r="58" spans="1:33" ht="15" customHeight="1"/>
    <row r="59" spans="1:33" ht="15" customHeight="1"/>
    <row r="60" spans="1:33" ht="15" customHeight="1"/>
    <row r="61" spans="1:33" ht="15" customHeight="1"/>
    <row r="62" spans="1:33" s="44" customFormat="1" ht="15" customHeight="1"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 s="44" customFormat="1" ht="15" customHeight="1">
      <c r="A63" s="54" t="s">
        <v>25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45"/>
      <c r="AG63" s="45"/>
    </row>
    <row r="64" spans="1:33" s="44" customFormat="1" ht="15" customHeight="1">
      <c r="A64" s="54" t="s">
        <v>35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45"/>
      <c r="AG64" s="45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</sheetData>
  <mergeCells count="34">
    <mergeCell ref="A3:AD3"/>
    <mergeCell ref="A2:AD2"/>
    <mergeCell ref="A63:AE63"/>
    <mergeCell ref="A64:AE64"/>
    <mergeCell ref="B25:D25"/>
    <mergeCell ref="B26:D26"/>
    <mergeCell ref="B27:D27"/>
    <mergeCell ref="B28:D28"/>
    <mergeCell ref="B29:D29"/>
    <mergeCell ref="B13:D13"/>
    <mergeCell ref="B14:D14"/>
    <mergeCell ref="B15:D15"/>
    <mergeCell ref="D18:F18"/>
    <mergeCell ref="B7:D7"/>
    <mergeCell ref="B8:D8"/>
    <mergeCell ref="B9:D9"/>
    <mergeCell ref="B40:AF40"/>
    <mergeCell ref="B42:AF42"/>
    <mergeCell ref="B44:AF44"/>
    <mergeCell ref="B32:D32"/>
    <mergeCell ref="B33:D33"/>
    <mergeCell ref="B34:D34"/>
    <mergeCell ref="B35:D35"/>
    <mergeCell ref="B36:D36"/>
    <mergeCell ref="B37:D37"/>
    <mergeCell ref="B38:D38"/>
    <mergeCell ref="A5:D5"/>
    <mergeCell ref="A12:D12"/>
    <mergeCell ref="A24:D24"/>
    <mergeCell ref="A30:D30"/>
    <mergeCell ref="B31:D31"/>
    <mergeCell ref="B6:D6"/>
    <mergeCell ref="B10:D10"/>
    <mergeCell ref="B11:D11"/>
  </mergeCells>
  <phoneticPr fontId="0" type="noConversion"/>
  <printOptions horizontalCentered="1"/>
  <pageMargins left="0.65" right="0.65" top="0.65" bottom="0.6" header="0.3" footer="0.3"/>
  <pageSetup scale="76" orientation="portrait" horizontalDpi="4294967292" verticalDpi="4294967292" r:id="rId1"/>
  <headerFooter alignWithMargins="0"/>
  <rowBreaks count="1" manualBreakCount="1">
    <brk id="64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K5" sqref="K5"/>
    </sheetView>
  </sheetViews>
  <sheetFormatPr defaultRowHeight="12.75"/>
  <cols>
    <col min="1" max="1" width="21.140625" customWidth="1"/>
  </cols>
  <sheetData>
    <row r="1" spans="1:11">
      <c r="B1" s="9">
        <v>2009</v>
      </c>
      <c r="C1" s="9">
        <v>2010</v>
      </c>
      <c r="D1" s="9">
        <v>2011</v>
      </c>
      <c r="E1" s="9">
        <v>2012</v>
      </c>
      <c r="F1" s="9">
        <v>2013</v>
      </c>
      <c r="G1" s="9">
        <v>2014</v>
      </c>
      <c r="H1" s="9">
        <v>2015</v>
      </c>
      <c r="I1" s="9">
        <v>2016</v>
      </c>
      <c r="J1" s="9">
        <v>2017</v>
      </c>
      <c r="K1" s="9">
        <v>2018</v>
      </c>
    </row>
    <row r="2" spans="1:11">
      <c r="A2" t="s">
        <v>11</v>
      </c>
      <c r="B2" s="3">
        <v>1018</v>
      </c>
      <c r="C2" s="3">
        <v>1008</v>
      </c>
      <c r="D2" s="3">
        <v>1007</v>
      </c>
      <c r="E2" s="3">
        <v>1028</v>
      </c>
      <c r="F2" s="3">
        <v>1013</v>
      </c>
      <c r="G2" s="3">
        <v>1003</v>
      </c>
      <c r="H2" s="3">
        <v>1020</v>
      </c>
      <c r="I2" s="3">
        <v>997</v>
      </c>
      <c r="J2" s="3">
        <v>979</v>
      </c>
      <c r="K2" s="3">
        <v>986</v>
      </c>
    </row>
    <row r="3" spans="1:11">
      <c r="A3" t="s">
        <v>12</v>
      </c>
      <c r="B3" s="3">
        <v>328</v>
      </c>
      <c r="C3" s="3">
        <v>300</v>
      </c>
      <c r="D3" s="3">
        <v>286</v>
      </c>
      <c r="E3" s="3">
        <v>303</v>
      </c>
      <c r="F3" s="3">
        <v>293</v>
      </c>
      <c r="G3" s="3">
        <v>315</v>
      </c>
      <c r="H3" s="3">
        <v>369</v>
      </c>
      <c r="I3" s="3">
        <v>376</v>
      </c>
      <c r="J3" s="3">
        <v>383</v>
      </c>
      <c r="K3" s="3">
        <v>369</v>
      </c>
    </row>
    <row r="4" spans="1:11">
      <c r="A4" t="s">
        <v>13</v>
      </c>
      <c r="B4" s="3">
        <v>400</v>
      </c>
      <c r="C4" s="3">
        <v>432</v>
      </c>
      <c r="D4" s="3">
        <v>473</v>
      </c>
      <c r="E4" s="3">
        <v>514</v>
      </c>
      <c r="F4" s="3">
        <v>563</v>
      </c>
      <c r="G4" s="3">
        <v>574</v>
      </c>
      <c r="H4" s="3">
        <v>584</v>
      </c>
      <c r="I4" s="3">
        <v>596</v>
      </c>
      <c r="J4" s="3">
        <v>604</v>
      </c>
      <c r="K4" s="3">
        <v>578</v>
      </c>
    </row>
    <row r="5" spans="1:11">
      <c r="K5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Faculty by Rank</vt:lpstr>
      <vt:lpstr>Data for Graph</vt:lpstr>
      <vt:lpstr>'Faculty by Rank'!Print_Area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Bickelhaupt, Sarah E [HD FS]</cp:lastModifiedBy>
  <cp:lastPrinted>2018-11-29T21:03:01Z</cp:lastPrinted>
  <dcterms:created xsi:type="dcterms:W3CDTF">1999-11-10T22:42:55Z</dcterms:created>
  <dcterms:modified xsi:type="dcterms:W3CDTF">2018-12-17T22:41:31Z</dcterms:modified>
</cp:coreProperties>
</file>